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720" tabRatio="600" firstSheet="0" activeTab="5" autoFilterDateGrouping="1"/>
  </bookViews>
  <sheets>
    <sheet xmlns:r="http://schemas.openxmlformats.org/officeDocument/2006/relationships" name="HOME" sheetId="1" state="visible" r:id="rId1"/>
    <sheet xmlns:r="http://schemas.openxmlformats.org/officeDocument/2006/relationships" name="VCV" sheetId="2" state="visible" r:id="rId2"/>
    <sheet xmlns:r="http://schemas.openxmlformats.org/officeDocument/2006/relationships" name="PCV" sheetId="3" state="visible" r:id="rId3"/>
    <sheet xmlns:r="http://schemas.openxmlformats.org/officeDocument/2006/relationships" name="PSV" sheetId="4" state="visible" r:id="rId4"/>
    <sheet xmlns:r="http://schemas.openxmlformats.org/officeDocument/2006/relationships" name="APRV" sheetId="5" state="visible" r:id="rId5"/>
    <sheet xmlns:r="http://schemas.openxmlformats.org/officeDocument/2006/relationships" name="Mech Power" sheetId="6" state="visible" r:id="rId6"/>
    <sheet xmlns:r="http://schemas.openxmlformats.org/officeDocument/2006/relationships" name="Calculations" sheetId="7" state="visible" r:id="rId7"/>
    <sheet xmlns:r="http://schemas.openxmlformats.org/officeDocument/2006/relationships" name="Reference" sheetId="8" state="visible" r:id="rId8"/>
  </sheets>
  <definedNames/>
  <calcPr calcId="191029" fullCalcOnLoad="1"/>
</workbook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"/>
  </numFmts>
  <fonts count="31">
    <font>
      <name val="Calibri"/>
      <family val="2"/>
      <color theme="1"/>
      <sz val="11"/>
      <scheme val="minor"/>
    </font>
    <font>
      <name val="Calibri"/>
      <b val="1"/>
      <color rgb="FFFFFFFF"/>
      <sz val="20"/>
    </font>
    <font>
      <name val="Calibri"/>
      <i val="1"/>
      <color rgb="FFFFFFFF"/>
      <sz val="12"/>
    </font>
    <font>
      <name val="Calibri"/>
      <b val="1"/>
      <color rgb="FFFFFFFF"/>
      <sz val="13"/>
    </font>
    <font>
      <name val="Calibri"/>
      <b val="1"/>
      <color rgb="FFFFFFFF"/>
      <sz val="12"/>
    </font>
    <font>
      <name val="Calibri"/>
      <color rgb="FF000000"/>
      <sz val="11"/>
    </font>
    <font>
      <name val="Calibri"/>
      <b val="1"/>
      <color rgb="FF000000"/>
      <sz val="11"/>
    </font>
    <font>
      <name val="Calibri"/>
      <i val="1"/>
      <color rgb="FF000000"/>
      <sz val="11"/>
    </font>
    <font>
      <name val="Calibri"/>
      <b val="1"/>
      <color rgb="FFFFFFFF"/>
      <sz val="16"/>
    </font>
    <font>
      <name val="Calibri"/>
      <i val="1"/>
      <color rgb="FFFFFFFF"/>
      <sz val="11"/>
    </font>
    <font>
      <name val="Calibri"/>
      <b val="1"/>
      <color rgb="FFFFFFFF"/>
      <sz val="11"/>
    </font>
    <font>
      <name val="Calibri"/>
      <b val="1"/>
      <sz val="12"/>
    </font>
    <font>
      <name val="Calibri"/>
      <color rgb="FF000000"/>
      <sz val="10"/>
    </font>
    <font>
      <name val="Calibri"/>
      <b val="1"/>
      <color rgb="FFFFD700"/>
      <sz val="12"/>
    </font>
    <font>
      <name val="Calibri"/>
      <b val="1"/>
      <color rgb="FF1F3864"/>
      <sz val="11"/>
    </font>
    <font>
      <name val="Calibri"/>
      <b val="1"/>
      <color rgb="FFFFD700"/>
      <sz val="11"/>
    </font>
    <font>
      <name val="Calibri"/>
      <b val="1"/>
      <color rgb="FFFFFFFF"/>
      <sz val="9"/>
    </font>
    <font>
      <name val="Calibri"/>
      <b val="1"/>
      <color rgb="FF1F3864"/>
      <sz val="12"/>
    </font>
    <font>
      <name val="Calibri"/>
      <b val="1"/>
      <color rgb="FFFFFFFF"/>
      <sz val="10"/>
    </font>
    <font>
      <name val="Calibri"/>
      <color rgb="FF000000"/>
      <sz val="9"/>
    </font>
    <font>
      <name val="Calibri"/>
      <b val="1"/>
      <color rgb="FFFFD700"/>
      <sz val="13"/>
    </font>
    <font>
      <b val="1"/>
      <color rgb="00FFFFFF"/>
      <sz val="13"/>
    </font>
    <font>
      <color rgb="00FFFFFF"/>
      <sz val="9"/>
    </font>
    <font>
      <b val="1"/>
      <color rgb="00FFFFFF"/>
      <sz val="10"/>
    </font>
    <font>
      <b val="1"/>
      <color rgb="00000000"/>
      <sz val="10"/>
    </font>
    <font>
      <b val="1"/>
      <color rgb="00000000"/>
      <sz val="11"/>
    </font>
    <font>
      <i val="1"/>
      <color rgb="00000000"/>
      <sz val="9"/>
    </font>
    <font>
      <color rgb="00000000"/>
      <sz val="10"/>
    </font>
    <font>
      <b val="1"/>
      <color rgb="00FFFFFF"/>
      <sz val="9"/>
    </font>
    <font>
      <i val="1"/>
      <color rgb="00000000"/>
      <sz val="8"/>
    </font>
    <font>
      <color rgb="00000000"/>
      <sz val="9"/>
    </font>
  </fonts>
  <fills count="29">
    <fill>
      <patternFill/>
    </fill>
    <fill>
      <patternFill patternType="gray125"/>
    </fill>
    <fill>
      <patternFill patternType="solid">
        <fgColor rgb="FF1F3864"/>
      </patternFill>
    </fill>
    <fill>
      <patternFill patternType="solid">
        <fgColor rgb="FF2E75B6"/>
      </patternFill>
    </fill>
    <fill>
      <patternFill patternType="solid">
        <fgColor rgb="FFF2F2F2"/>
      </patternFill>
    </fill>
    <fill>
      <patternFill patternType="solid">
        <fgColor rgb="FF00B0F0"/>
      </patternFill>
    </fill>
    <fill>
      <patternFill patternType="solid">
        <fgColor rgb="FF70AD47"/>
      </patternFill>
    </fill>
    <fill>
      <patternFill patternType="solid">
        <fgColor rgb="FFED7D31"/>
      </patternFill>
    </fill>
    <fill>
      <patternFill patternType="solid">
        <fgColor rgb="FFC00000"/>
      </patternFill>
    </fill>
    <fill>
      <patternFill patternType="solid">
        <fgColor rgb="FF7B0000"/>
      </patternFill>
    </fill>
    <fill>
      <patternFill patternType="solid">
        <fgColor rgb="FFBDD7EE"/>
      </patternFill>
    </fill>
    <fill>
      <patternFill patternType="solid">
        <fgColor rgb="FFFFFF00"/>
      </patternFill>
    </fill>
    <fill>
      <patternFill patternType="solid">
        <fgColor rgb="FF7030A0"/>
      </patternFill>
    </fill>
    <fill>
      <patternFill patternType="solid">
        <fgColor rgb="FF843C0C"/>
      </patternFill>
    </fill>
    <fill>
      <patternFill patternType="solid">
        <fgColor rgb="FF92D050"/>
      </patternFill>
    </fill>
    <fill>
      <patternFill patternType="solid">
        <fgColor rgb="FFFFFFFF"/>
      </patternFill>
    </fill>
    <fill>
      <patternFill patternType="solid">
        <fgColor rgb="FFD9EAD3"/>
      </patternFill>
    </fill>
    <fill>
      <patternFill patternType="solid">
        <fgColor rgb="FFB6D7A8"/>
      </patternFill>
    </fill>
    <fill>
      <patternFill patternType="solid">
        <fgColor rgb="FFFFE599"/>
      </patternFill>
    </fill>
    <fill>
      <patternFill patternType="solid">
        <fgColor rgb="FFEA9999"/>
      </patternFill>
    </fill>
    <fill>
      <patternFill patternType="solid">
        <fgColor rgb="FF375623"/>
      </patternFill>
    </fill>
    <fill>
      <patternFill patternType="solid">
        <fgColor rgb="FF006B6B"/>
      </patternFill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F00"/>
      </patternFill>
    </fill>
    <fill>
      <patternFill patternType="solid">
        <fgColor rgb="00E2EFDA"/>
      </patternFill>
    </fill>
    <fill>
      <patternFill patternType="solid">
        <fgColor rgb="00F4B942"/>
      </patternFill>
    </fill>
    <fill>
      <patternFill patternType="solid">
        <fgColor rgb="00FCE4D6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595959"/>
      </left>
      <right style="medium">
        <color rgb="FF595959"/>
      </right>
      <top style="medium">
        <color rgb="FF595959"/>
      </top>
      <bottom style="medium">
        <color rgb="FF595959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92">
    <xf numFmtId="0" fontId="0" fillId="0" borderId="0" pivotButton="0" quotePrefix="0" xfId="0"/>
    <xf numFmtId="0" fontId="4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0" fontId="4" fillId="7" borderId="1" applyAlignment="1" pivotButton="0" quotePrefix="0" xfId="0">
      <alignment horizontal="center" vertical="center"/>
    </xf>
    <xf numFmtId="0" fontId="4" fillId="8" borderId="1" applyAlignment="1" pivotButton="0" quotePrefix="0" xfId="0">
      <alignment horizontal="center" vertical="center"/>
    </xf>
    <xf numFmtId="0" fontId="4" fillId="9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6" fillId="10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left" vertical="center"/>
    </xf>
    <xf numFmtId="0" fontId="10" fillId="2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left" vertical="center"/>
    </xf>
    <xf numFmtId="0" fontId="11" fillId="11" borderId="2" applyAlignment="1" pivotButton="0" quotePrefix="0" xfId="0">
      <alignment horizontal="center"/>
      <protection locked="0" hidden="0"/>
    </xf>
    <xf numFmtId="0" fontId="12" fillId="4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left" vertical="center" wrapText="1"/>
    </xf>
    <xf numFmtId="164" fontId="14" fillId="10" borderId="2" applyAlignment="1" pivotButton="0" quotePrefix="0" xfId="0">
      <alignment horizontal="center"/>
    </xf>
    <xf numFmtId="0" fontId="16" fillId="2" borderId="1" applyAlignment="1" pivotButton="0" quotePrefix="0" xfId="0">
      <alignment horizontal="center" vertical="center"/>
    </xf>
    <xf numFmtId="0" fontId="16" fillId="7" borderId="1" applyAlignment="1" pivotButton="0" quotePrefix="0" xfId="0">
      <alignment horizontal="center" vertical="center"/>
    </xf>
    <xf numFmtId="0" fontId="16" fillId="6" borderId="1" applyAlignment="1" pivotButton="0" quotePrefix="0" xfId="0">
      <alignment horizontal="center" vertical="center"/>
    </xf>
    <xf numFmtId="0" fontId="16" fillId="12" borderId="1" applyAlignment="1" pivotButton="0" quotePrefix="0" xfId="0">
      <alignment horizontal="center" vertical="center"/>
    </xf>
    <xf numFmtId="0" fontId="16" fillId="8" borderId="1" applyAlignment="1" pivotButton="0" quotePrefix="0" xfId="0">
      <alignment horizontal="center" vertical="center"/>
    </xf>
    <xf numFmtId="0" fontId="16" fillId="13" borderId="1" applyAlignment="1" pivotButton="0" quotePrefix="0" xfId="0">
      <alignment horizontal="center" vertical="center"/>
    </xf>
    <xf numFmtId="0" fontId="16" fillId="5" borderId="1" applyAlignment="1" pivotButton="0" quotePrefix="0" xfId="0">
      <alignment horizontal="center" vertical="center"/>
    </xf>
    <xf numFmtId="0" fontId="16" fillId="14" borderId="1" applyAlignment="1" pivotButton="0" quotePrefix="0" xfId="0">
      <alignment horizontal="center" vertical="center"/>
    </xf>
    <xf numFmtId="164" fontId="0" fillId="4" borderId="0" pivotButton="0" quotePrefix="0" xfId="0"/>
    <xf numFmtId="165" fontId="0" fillId="4" borderId="0" pivotButton="0" quotePrefix="0" xfId="0"/>
    <xf numFmtId="164" fontId="0" fillId="15" borderId="0" pivotButton="0" quotePrefix="0" xfId="0"/>
    <xf numFmtId="165" fontId="0" fillId="15" borderId="0" pivotButton="0" quotePrefix="0" xfId="0"/>
    <xf numFmtId="166" fontId="17" fillId="10" borderId="2" applyAlignment="1" pivotButton="0" quotePrefix="0" xfId="0">
      <alignment horizontal="center"/>
    </xf>
    <xf numFmtId="0" fontId="18" fillId="3" borderId="1" applyAlignment="1" pivotButton="0" quotePrefix="0" xfId="0">
      <alignment horizontal="center" vertical="center"/>
    </xf>
    <xf numFmtId="0" fontId="6" fillId="16" borderId="1" applyAlignment="1" pivotButton="0" quotePrefix="0" xfId="0">
      <alignment horizontal="center" vertical="center"/>
    </xf>
    <xf numFmtId="0" fontId="6" fillId="17" borderId="1" applyAlignment="1" pivotButton="0" quotePrefix="0" xfId="0">
      <alignment horizontal="center" vertical="center"/>
    </xf>
    <xf numFmtId="0" fontId="6" fillId="18" borderId="1" applyAlignment="1" pivotButton="0" quotePrefix="0" xfId="0">
      <alignment horizontal="center" vertical="center"/>
    </xf>
    <xf numFmtId="0" fontId="6" fillId="19" borderId="1" applyAlignment="1" pivotButton="0" quotePrefix="0" xfId="0">
      <alignment horizontal="center" vertical="center"/>
    </xf>
    <xf numFmtId="2" fontId="19" fillId="4" borderId="1" applyAlignment="1" pivotButton="0" quotePrefix="0" xfId="0">
      <alignment horizontal="center" vertical="center"/>
    </xf>
    <xf numFmtId="2" fontId="19" fillId="15" borderId="1" applyAlignment="1" pivotButton="0" quotePrefix="0" xfId="0">
      <alignment horizontal="center" vertical="center"/>
    </xf>
    <xf numFmtId="0" fontId="18" fillId="2" borderId="1" applyAlignment="1" pivotButton="0" quotePrefix="0" xfId="0">
      <alignment horizontal="center" vertical="center"/>
    </xf>
    <xf numFmtId="0" fontId="12" fillId="4" borderId="1" applyAlignment="1" pivotButton="0" quotePrefix="0" xfId="0">
      <alignment horizontal="center" vertical="center" wrapText="1"/>
    </xf>
    <xf numFmtId="0" fontId="12" fillId="15" borderId="1" applyAlignment="1" pivotButton="0" quotePrefix="0" xfId="0">
      <alignment horizontal="left" vertical="center" wrapText="1"/>
    </xf>
    <xf numFmtId="0" fontId="12" fillId="15" borderId="1" applyAlignment="1" pivotButton="0" quotePrefix="0" xfId="0">
      <alignment horizontal="center" vertical="center" wrapText="1"/>
    </xf>
    <xf numFmtId="0" fontId="12" fillId="4" borderId="1" applyAlignment="1" pivotButton="0" quotePrefix="0" xfId="0">
      <alignment horizontal="left" vertical="center"/>
    </xf>
    <xf numFmtId="166" fontId="14" fillId="10" borderId="2" applyAlignment="1" pivotButton="0" quotePrefix="0" xfId="0">
      <alignment horizontal="center"/>
    </xf>
    <xf numFmtId="0" fontId="3" fillId="2" borderId="0" applyAlignment="1" pivotButton="0" quotePrefix="0" xfId="0">
      <alignment horizontal="center" vertical="center"/>
    </xf>
    <xf numFmtId="0" fontId="0" fillId="0" borderId="0" pivotButton="0" quotePrefix="0" xfId="0"/>
    <xf numFmtId="0" fontId="2" fillId="3" borderId="0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13" fillId="2" borderId="0" applyAlignment="1" pivotButton="0" quotePrefix="0" xfId="0">
      <alignment horizontal="center" vertical="center"/>
    </xf>
    <xf numFmtId="0" fontId="8" fillId="2" borderId="0" applyAlignment="1" pivotButton="0" quotePrefix="0" xfId="0">
      <alignment horizontal="center" vertical="center"/>
    </xf>
    <xf numFmtId="0" fontId="9" fillId="3" borderId="0" applyAlignment="1" pivotButton="0" quotePrefix="0" xfId="0">
      <alignment horizontal="center" vertical="center"/>
    </xf>
    <xf numFmtId="0" fontId="15" fillId="2" borderId="0" applyAlignment="1" pivotButton="0" quotePrefix="0" xfId="0">
      <alignment horizontal="center" vertical="center"/>
    </xf>
    <xf numFmtId="0" fontId="9" fillId="5" borderId="0" applyAlignment="1" pivotButton="0" quotePrefix="0" xfId="0">
      <alignment horizontal="center" vertical="center"/>
    </xf>
    <xf numFmtId="0" fontId="9" fillId="6" borderId="0" applyAlignment="1" pivotButton="0" quotePrefix="0" xfId="0">
      <alignment horizontal="center" vertical="center"/>
    </xf>
    <xf numFmtId="0" fontId="9" fillId="7" borderId="0" applyAlignment="1" pivotButton="0" quotePrefix="0" xfId="0">
      <alignment horizontal="center" vertical="center"/>
    </xf>
    <xf numFmtId="0" fontId="10" fillId="5" borderId="0" applyAlignment="1" pivotButton="0" quotePrefix="0" xfId="0">
      <alignment horizontal="center" vertical="center"/>
    </xf>
    <xf numFmtId="0" fontId="12" fillId="4" borderId="0" applyAlignment="1" pivotButton="0" quotePrefix="0" xfId="0">
      <alignment horizontal="left" vertical="center"/>
    </xf>
    <xf numFmtId="0" fontId="12" fillId="18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10" fillId="3" borderId="0" applyAlignment="1" pivotButton="0" quotePrefix="0" xfId="0">
      <alignment horizontal="center" vertical="center"/>
    </xf>
    <xf numFmtId="0" fontId="12" fillId="19" borderId="1" applyAlignment="1" pivotButton="0" quotePrefix="0" xfId="0">
      <alignment horizontal="left" vertical="center" wrapText="1"/>
    </xf>
    <xf numFmtId="0" fontId="12" fillId="17" borderId="1" applyAlignment="1" pivotButton="0" quotePrefix="0" xfId="0">
      <alignment horizontal="left" vertical="center" wrapText="1"/>
    </xf>
    <xf numFmtId="0" fontId="3" fillId="3" borderId="0" applyAlignment="1" pivotButton="0" quotePrefix="0" xfId="0">
      <alignment horizontal="center" vertical="center"/>
    </xf>
    <xf numFmtId="0" fontId="4" fillId="3" borderId="0" applyAlignment="1" pivotButton="0" quotePrefix="0" xfId="0">
      <alignment horizontal="center" vertical="center"/>
    </xf>
    <xf numFmtId="0" fontId="3" fillId="5" borderId="0" applyAlignment="1" pivotButton="0" quotePrefix="0" xfId="0">
      <alignment horizontal="center" vertical="center"/>
    </xf>
    <xf numFmtId="0" fontId="12" fillId="16" borderId="1" applyAlignment="1" pivotButton="0" quotePrefix="0" xfId="0">
      <alignment horizontal="left" vertical="center" wrapText="1"/>
    </xf>
    <xf numFmtId="0" fontId="4" fillId="5" borderId="0" applyAlignment="1" pivotButton="0" quotePrefix="0" xfId="0">
      <alignment horizontal="center" vertical="center"/>
    </xf>
    <xf numFmtId="0" fontId="3" fillId="8" borderId="0" applyAlignment="1" pivotButton="0" quotePrefix="0" xfId="0">
      <alignment horizontal="center" vertical="center"/>
    </xf>
    <xf numFmtId="0" fontId="3" fillId="9" borderId="0" applyAlignment="1" pivotButton="0" quotePrefix="0" xfId="0">
      <alignment horizontal="center" vertical="center"/>
    </xf>
    <xf numFmtId="0" fontId="3" fillId="7" borderId="0" applyAlignment="1" pivotButton="0" quotePrefix="0" xfId="0">
      <alignment horizontal="center" vertical="center"/>
    </xf>
    <xf numFmtId="0" fontId="20" fillId="2" borderId="0" applyAlignment="1" pivotButton="0" quotePrefix="0" xfId="0">
      <alignment horizontal="center" vertical="center"/>
    </xf>
    <xf numFmtId="0" fontId="3" fillId="6" borderId="0" applyAlignment="1" pivotButton="0" quotePrefix="0" xfId="0">
      <alignment horizontal="center" vertical="center"/>
    </xf>
    <xf numFmtId="0" fontId="3" fillId="20" borderId="0" applyAlignment="1" pivotButton="0" quotePrefix="0" xfId="0">
      <alignment horizontal="center" vertical="center"/>
    </xf>
    <xf numFmtId="0" fontId="4" fillId="12" borderId="0" applyAlignment="1" pivotButton="0" quotePrefix="0" xfId="0">
      <alignment horizontal="center" vertical="center"/>
    </xf>
    <xf numFmtId="0" fontId="4" fillId="7" borderId="0" applyAlignment="1" pivotButton="0" quotePrefix="0" xfId="0">
      <alignment horizontal="center" vertical="center"/>
    </xf>
    <xf numFmtId="0" fontId="4" fillId="8" borderId="0" applyAlignment="1" pivotButton="0" quotePrefix="0" xfId="0">
      <alignment horizontal="center" vertical="center"/>
    </xf>
    <xf numFmtId="0" fontId="4" fillId="21" borderId="0" applyAlignment="1" pivotButton="0" quotePrefix="0" xfId="0">
      <alignment horizontal="center" vertical="center"/>
    </xf>
    <xf numFmtId="0" fontId="21" fillId="22" borderId="0" applyAlignment="1" pivotButton="0" quotePrefix="0" xfId="0">
      <alignment horizontal="center" vertical="center" wrapText="1"/>
    </xf>
    <xf numFmtId="0" fontId="22" fillId="23" borderId="0" applyAlignment="1" pivotButton="0" quotePrefix="0" xfId="0">
      <alignment horizontal="center" vertical="center" wrapText="1"/>
    </xf>
    <xf numFmtId="0" fontId="23" fillId="23" borderId="0" applyAlignment="1" pivotButton="0" quotePrefix="0" xfId="0">
      <alignment horizontal="center" vertical="center" wrapText="1"/>
    </xf>
    <xf numFmtId="0" fontId="24" fillId="24" borderId="6" applyAlignment="1" pivotButton="0" quotePrefix="0" xfId="0">
      <alignment horizontal="left" vertical="center" wrapText="1"/>
    </xf>
    <xf numFmtId="0" fontId="25" fillId="25" borderId="6" applyAlignment="1" pivotButton="0" quotePrefix="0" xfId="0">
      <alignment horizontal="center" vertical="center" wrapText="1"/>
      <protection locked="0" hidden="0"/>
    </xf>
    <xf numFmtId="0" fontId="26" fillId="0" borderId="6" applyAlignment="1" pivotButton="0" quotePrefix="0" xfId="0">
      <alignment horizontal="left" vertical="center" wrapText="1"/>
    </xf>
    <xf numFmtId="0" fontId="27" fillId="0" borderId="6" applyAlignment="1" pivotButton="0" quotePrefix="0" xfId="0">
      <alignment horizontal="right" vertical="center" wrapText="1"/>
    </xf>
    <xf numFmtId="0" fontId="23" fillId="22" borderId="0" applyAlignment="1" pivotButton="0" quotePrefix="0" xfId="0">
      <alignment horizontal="center" vertical="center" wrapText="1"/>
    </xf>
    <xf numFmtId="0" fontId="28" fillId="23" borderId="0" applyAlignment="1" pivotButton="0" quotePrefix="0" xfId="0">
      <alignment horizontal="center" vertical="center" wrapText="1"/>
    </xf>
    <xf numFmtId="0" fontId="29" fillId="0" borderId="6" applyAlignment="1" pivotButton="0" quotePrefix="0" xfId="0">
      <alignment horizontal="left" vertical="center" wrapText="1"/>
    </xf>
    <xf numFmtId="0" fontId="24" fillId="26" borderId="6" applyAlignment="1" pivotButton="0" quotePrefix="0" xfId="0">
      <alignment horizontal="left" vertical="center" wrapText="1"/>
    </xf>
    <xf numFmtId="0" fontId="28" fillId="23" borderId="6" applyAlignment="1" pivotButton="0" quotePrefix="0" xfId="0">
      <alignment horizontal="center" vertical="center" wrapText="1"/>
    </xf>
    <xf numFmtId="0" fontId="30" fillId="26" borderId="6" applyAlignment="1" pivotButton="0" quotePrefix="0" xfId="0">
      <alignment horizontal="center" vertical="center" wrapText="1"/>
    </xf>
    <xf numFmtId="0" fontId="30" fillId="27" borderId="6" applyAlignment="1" pivotButton="0" quotePrefix="0" xfId="0">
      <alignment horizontal="center" vertical="center" wrapText="1"/>
    </xf>
    <xf numFmtId="0" fontId="30" fillId="28" borderId="6" applyAlignment="1" pivotButton="0" quotePrefix="0" xfId="0">
      <alignment horizontal="center" vertical="center" wrapText="1"/>
    </xf>
    <xf numFmtId="0" fontId="28" fillId="22" borderId="0" applyAlignment="1" pivotButton="0" quotePrefix="0" xfId="0">
      <alignment horizontal="center" vertical="center" wrapText="1"/>
    </xf>
  </cellXfs>
  <cellStyles count="1">
    <cellStyle name="Normal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Airway Pressure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VCV!$C$30</f>
              <strCache>
                <ptCount val="1"/>
                <pt idx="0">
                  <v>Paw (cmH2O)</v>
                </pt>
              </strCache>
            </strRef>
          </tx>
          <spPr>
            <a:ln xmlns:a="http://schemas.openxmlformats.org/drawingml/2006/main" w="22000">
              <a:solidFill>
                <a:srgbClr val="ED7D3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VCV!$C$31:$C$270</f>
              <numCache>
                <formatCode>0.000</formatCode>
                <ptCount val="240"/>
                <pt idx="0">
                  <v>10</v>
                </pt>
                <pt idx="1">
                  <v>10.5</v>
                </pt>
                <pt idx="2">
                  <v>11</v>
                </pt>
                <pt idx="3">
                  <v>11.5</v>
                </pt>
                <pt idx="4">
                  <v>12</v>
                </pt>
                <pt idx="5">
                  <v>12.5</v>
                </pt>
                <pt idx="6">
                  <v>13</v>
                </pt>
                <pt idx="7">
                  <v>13.5</v>
                </pt>
                <pt idx="8">
                  <v>14</v>
                </pt>
                <pt idx="9">
                  <v>14.5</v>
                </pt>
                <pt idx="10">
                  <v>15</v>
                </pt>
                <pt idx="11">
                  <v>15.5</v>
                </pt>
                <pt idx="12">
                  <v>16</v>
                </pt>
                <pt idx="13">
                  <v>16.5</v>
                </pt>
                <pt idx="14">
                  <v>17</v>
                </pt>
                <pt idx="15">
                  <v>17.5</v>
                </pt>
                <pt idx="16">
                  <v>18</v>
                </pt>
                <pt idx="17">
                  <v>18.5</v>
                </pt>
                <pt idx="18">
                  <v>19</v>
                </pt>
                <pt idx="19">
                  <v>19.5</v>
                </pt>
                <pt idx="20">
                  <v>20</v>
                </pt>
                <pt idx="21">
                  <v>20.5</v>
                </pt>
                <pt idx="22">
                  <v>21</v>
                </pt>
                <pt idx="23">
                  <v>21.5</v>
                </pt>
                <pt idx="24">
                  <v>22</v>
                </pt>
                <pt idx="25">
                  <v>22.5</v>
                </pt>
                <pt idx="26">
                  <v>23</v>
                </pt>
                <pt idx="27">
                  <v>20.06823253734798</v>
                </pt>
                <pt idx="28">
                  <v>18.63430062345939</v>
                </pt>
                <pt idx="29">
                  <v>17.33682537285706</v>
                </pt>
                <pt idx="30">
                  <v>16.1628212171365</v>
                </pt>
                <pt idx="31">
                  <v>15.10053832811082</v>
                </pt>
                <pt idx="32">
                  <v>14.13934502158104</v>
                </pt>
                <pt idx="33">
                  <v>13.26962135186719</v>
                </pt>
                <pt idx="34">
                  <v>12.48266283215855</v>
                </pt>
                <pt idx="35">
                  <v>11.77059331708398</v>
                </pt>
                <pt idx="36">
                  <v>11.12628617560179</v>
                </pt>
                <pt idx="37">
                  <v>10.54329296528092</v>
                </pt>
                <pt idx="38">
                  <v>10.01577889412169</v>
                </pt>
                <pt idx="39">
                  <v>9.538464423996327</v>
                </pt>
                <pt idx="40">
                  <v>9.106572431256895</v>
                </pt>
                <pt idx="41">
                  <v>8.715780395676143</v>
                </pt>
                <pt idx="42">
                  <v>8.362177139212235</v>
                </pt>
                <pt idx="43">
                  <v>8.04222368162433</v>
                </pt>
                <pt idx="44">
                  <v>7.752717821168808</v>
                </pt>
                <pt idx="45">
                  <v>7.490762085887957</v>
                </pt>
                <pt idx="46">
                  <v>7.253734734736721</v>
                </pt>
                <pt idx="47">
                  <v>7.039263518317131</v>
                </pt>
                <pt idx="48">
                  <v>6.845201936609001</v>
                </pt>
                <pt idx="49">
                  <v>6.66960775607624</v>
                </pt>
                <pt idx="50">
                  <v>6.510723571140837</v>
                </pt>
                <pt idx="51">
                  <v>6.366959215477141</v>
                </pt>
                <pt idx="52">
                  <v>6.236875847092795</v>
                </pt>
                <pt idx="53">
                  <v>6.119171547914486</v>
                </pt>
                <pt idx="54">
                  <v>6.012668293754251</v>
                </pt>
                <pt idx="55">
                  <v>5.916300164247478</v>
                </pt>
                <pt idx="56">
                  <v>5.829102674763614</v>
                </pt>
                <pt idx="57">
                  <v>5.750203123519816</v>
                </pt>
                <pt idx="58">
                  <v>5.678811857288182</v>
                </pt>
                <pt idx="59">
                  <v>5.614214368280833</v>
                </pt>
                <pt idx="60">
                  <v>5.555764143115817</v>
                </pt>
                <pt idx="61">
                  <v>5.502876192293884</v>
                </pt>
                <pt idx="62">
                  <v>5.455021195426952</v>
                </pt>
                <pt idx="63">
                  <v>5.411720203621759</v>
                </pt>
                <pt idx="64">
                  <v>5.372539845998352</v>
                </pt>
                <pt idx="65">
                  <v>5.337087992368663</v>
                </pt>
                <pt idx="66">
                  <v>5.305009828665787</v>
                </pt>
                <pt idx="67">
                  <v>5.27598430584554</v>
                </pt>
                <pt idx="68">
                  <v>5.249720926719725</v>
                </pt>
                <pt idx="69">
                  <v>5.225956838562624</v>
                </pt>
                <pt idx="70">
                  <v>5.204454202392572</v>
                </pt>
                <pt idx="71">
                  <v>5.184997812599497</v>
                </pt>
                <pt idx="72">
                  <v>5.167392943094828</v>
                </pt>
                <pt idx="73">
                  <v>5.151463398427365</v>
                </pt>
                <pt idx="74">
                  <v>5.137049750359969</v>
                </pt>
                <pt idx="75">
                  <v>5.124007742258187</v>
                </pt>
                <pt idx="76">
                  <v>5.112206845321367</v>
                </pt>
                <pt idx="77">
                  <v>5.101528952206546</v>
                </pt>
                <pt idx="78">
                  <v>5.091867194970467</v>
                </pt>
                <pt idx="79">
                  <v>5.083124875499283</v>
                </pt>
                <pt idx="80">
                  <v>10</v>
                </pt>
                <pt idx="81">
                  <v>10.5</v>
                </pt>
                <pt idx="82">
                  <v>11</v>
                </pt>
                <pt idx="83">
                  <v>11.5</v>
                </pt>
                <pt idx="84">
                  <v>12</v>
                </pt>
                <pt idx="85">
                  <v>12.5</v>
                </pt>
                <pt idx="86">
                  <v>13</v>
                </pt>
                <pt idx="87">
                  <v>13.5</v>
                </pt>
                <pt idx="88">
                  <v>14</v>
                </pt>
                <pt idx="89">
                  <v>14.5</v>
                </pt>
                <pt idx="90">
                  <v>15</v>
                </pt>
                <pt idx="91">
                  <v>15.5</v>
                </pt>
                <pt idx="92">
                  <v>16</v>
                </pt>
                <pt idx="93">
                  <v>16.5</v>
                </pt>
                <pt idx="94">
                  <v>17</v>
                </pt>
                <pt idx="95">
                  <v>17.5</v>
                </pt>
                <pt idx="96">
                  <v>18</v>
                </pt>
                <pt idx="97">
                  <v>18.5</v>
                </pt>
                <pt idx="98">
                  <v>19</v>
                </pt>
                <pt idx="99">
                  <v>19.5</v>
                </pt>
                <pt idx="100">
                  <v>20</v>
                </pt>
                <pt idx="101">
                  <v>20.5</v>
                </pt>
                <pt idx="102">
                  <v>21</v>
                </pt>
                <pt idx="103">
                  <v>21.5</v>
                </pt>
                <pt idx="104">
                  <v>22</v>
                </pt>
                <pt idx="105">
                  <v>22.5</v>
                </pt>
                <pt idx="106">
                  <v>23</v>
                </pt>
                <pt idx="107">
                  <v>20.06823253734799</v>
                </pt>
                <pt idx="108">
                  <v>18.63430062345937</v>
                </pt>
                <pt idx="109">
                  <v>17.33682537285706</v>
                </pt>
                <pt idx="110">
                  <v>16.1628212171365</v>
                </pt>
                <pt idx="111">
                  <v>15.10053832811082</v>
                </pt>
                <pt idx="112">
                  <v>14.13934502158105</v>
                </pt>
                <pt idx="113">
                  <v>13.26962135186718</v>
                </pt>
                <pt idx="114">
                  <v>12.48266283215855</v>
                </pt>
                <pt idx="115">
                  <v>11.77059331708398</v>
                </pt>
                <pt idx="116">
                  <v>11.12628617560179</v>
                </pt>
                <pt idx="117">
                  <v>10.54329296528092</v>
                </pt>
                <pt idx="118">
                  <v>10.01577889412168</v>
                </pt>
                <pt idx="119">
                  <v>9.538464423996324</v>
                </pt>
                <pt idx="120">
                  <v>9.106572431256895</v>
                </pt>
                <pt idx="121">
                  <v>8.715780395676143</v>
                </pt>
                <pt idx="122">
                  <v>8.362177139212239</v>
                </pt>
                <pt idx="123">
                  <v>8.042223681624327</v>
                </pt>
                <pt idx="124">
                  <v>7.752717821168808</v>
                </pt>
                <pt idx="125">
                  <v>7.490762085887957</v>
                </pt>
                <pt idx="126">
                  <v>7.253734734736721</v>
                </pt>
                <pt idx="127">
                  <v>7.039263518317133</v>
                </pt>
                <pt idx="128">
                  <v>6.845201936609</v>
                </pt>
                <pt idx="129">
                  <v>6.66960775607624</v>
                </pt>
                <pt idx="130">
                  <v>6.510723571140837</v>
                </pt>
                <pt idx="131">
                  <v>6.366959215477141</v>
                </pt>
                <pt idx="132">
                  <v>6.236875847092797</v>
                </pt>
                <pt idx="133">
                  <v>6.119171547914485</v>
                </pt>
                <pt idx="134">
                  <v>6.012668293754251</v>
                </pt>
                <pt idx="135">
                  <v>5.916300164247478</v>
                </pt>
                <pt idx="136">
                  <v>5.829102674763614</v>
                </pt>
                <pt idx="137">
                  <v>5.750203123519817</v>
                </pt>
                <pt idx="138">
                  <v>5.678811857288181</v>
                </pt>
                <pt idx="139">
                  <v>5.614214368280833</v>
                </pt>
                <pt idx="140">
                  <v>5.555764143115817</v>
                </pt>
                <pt idx="141">
                  <v>5.502876192293884</v>
                </pt>
                <pt idx="142">
                  <v>5.455021195426952</v>
                </pt>
                <pt idx="143">
                  <v>5.411720203621758</v>
                </pt>
                <pt idx="144">
                  <v>5.372539845998352</v>
                </pt>
                <pt idx="145">
                  <v>5.337087992368663</v>
                </pt>
                <pt idx="146">
                  <v>5.305009828665787</v>
                </pt>
                <pt idx="147">
                  <v>5.275984305845541</v>
                </pt>
                <pt idx="148">
                  <v>5.249720926719725</v>
                </pt>
                <pt idx="149">
                  <v>5.225956838562624</v>
                </pt>
                <pt idx="150">
                  <v>5.204454202392572</v>
                </pt>
                <pt idx="151">
                  <v>5.184997812599497</v>
                </pt>
                <pt idx="152">
                  <v>5.167392943094829</v>
                </pt>
                <pt idx="153">
                  <v>5.151463398427365</v>
                </pt>
                <pt idx="154">
                  <v>5.137049750359969</v>
                </pt>
                <pt idx="155">
                  <v>5.124007742258187</v>
                </pt>
                <pt idx="156">
                  <v>5.112206845321367</v>
                </pt>
                <pt idx="157">
                  <v>5.101528952206546</v>
                </pt>
                <pt idx="158">
                  <v>5.091867194970467</v>
                </pt>
                <pt idx="159">
                  <v>5.083124875499283</v>
                </pt>
                <pt idx="160">
                  <v>10</v>
                </pt>
                <pt idx="161">
                  <v>10.50000000000001</v>
                </pt>
                <pt idx="162">
                  <v>11</v>
                </pt>
                <pt idx="163">
                  <v>11.5</v>
                </pt>
                <pt idx="164">
                  <v>11.99999999999999</v>
                </pt>
                <pt idx="165">
                  <v>12.5</v>
                </pt>
                <pt idx="166">
                  <v>13.00000000000001</v>
                </pt>
                <pt idx="167">
                  <v>13.5</v>
                </pt>
                <pt idx="168">
                  <v>14</v>
                </pt>
                <pt idx="169">
                  <v>14.49999999999999</v>
                </pt>
                <pt idx="170">
                  <v>15</v>
                </pt>
                <pt idx="171">
                  <v>15.50000000000001</v>
                </pt>
                <pt idx="172">
                  <v>16</v>
                </pt>
                <pt idx="173">
                  <v>16.5</v>
                </pt>
                <pt idx="174">
                  <v>16.99999999999999</v>
                </pt>
                <pt idx="175">
                  <v>17.5</v>
                </pt>
                <pt idx="176">
                  <v>18.00000000000001</v>
                </pt>
                <pt idx="177">
                  <v>18.5</v>
                </pt>
                <pt idx="178">
                  <v>19</v>
                </pt>
                <pt idx="179">
                  <v>19.49999999999999</v>
                </pt>
                <pt idx="180">
                  <v>20</v>
                </pt>
                <pt idx="181">
                  <v>20.50000000000001</v>
                </pt>
                <pt idx="182">
                  <v>21</v>
                </pt>
                <pt idx="183">
                  <v>21.5</v>
                </pt>
                <pt idx="184">
                  <v>21.99999999999999</v>
                </pt>
                <pt idx="185">
                  <v>22.5</v>
                </pt>
                <pt idx="186">
                  <v>23.00000000000001</v>
                </pt>
                <pt idx="187">
                  <v>20.06823253734799</v>
                </pt>
                <pt idx="188">
                  <v>18.63430062345937</v>
                </pt>
                <pt idx="189">
                  <v>17.33682537285708</v>
                </pt>
                <pt idx="190">
                  <v>16.1628212171365</v>
                </pt>
                <pt idx="191">
                  <v>15.1005383281108</v>
                </pt>
                <pt idx="192">
                  <v>14.13934502158105</v>
                </pt>
                <pt idx="193">
                  <v>13.26962135186718</v>
                </pt>
                <pt idx="194">
                  <v>12.48266283215856</v>
                </pt>
                <pt idx="195">
                  <v>11.77059331708398</v>
                </pt>
                <pt idx="196">
                  <v>11.12628617560178</v>
                </pt>
                <pt idx="197">
                  <v>10.54329296528092</v>
                </pt>
                <pt idx="198">
                  <v>10.01577889412168</v>
                </pt>
                <pt idx="199">
                  <v>9.538464423996334</v>
                </pt>
                <pt idx="200">
                  <v>9.106572431256895</v>
                </pt>
                <pt idx="201">
                  <v>8.715780395676136</v>
                </pt>
                <pt idx="202">
                  <v>8.362177139212239</v>
                </pt>
                <pt idx="203">
                  <v>8.042223681624327</v>
                </pt>
                <pt idx="204">
                  <v>7.752717821168812</v>
                </pt>
                <pt idx="205">
                  <v>7.490762085887957</v>
                </pt>
                <pt idx="206">
                  <v>7.253734734736717</v>
                </pt>
                <pt idx="207">
                  <v>7.039263518317133</v>
                </pt>
                <pt idx="208">
                  <v>6.845201936609</v>
                </pt>
                <pt idx="209">
                  <v>6.669607756076243</v>
                </pt>
                <pt idx="210">
                  <v>6.510723571140837</v>
                </pt>
                <pt idx="211">
                  <v>6.366959215477138</v>
                </pt>
                <pt idx="212">
                  <v>6.236875847092797</v>
                </pt>
                <pt idx="213">
                  <v>6.119171547914485</v>
                </pt>
                <pt idx="214">
                  <v>6.012668293754253</v>
                </pt>
                <pt idx="215">
                  <v>5.916300164247478</v>
                </pt>
                <pt idx="216">
                  <v>5.829102674763612</v>
                </pt>
                <pt idx="217">
                  <v>5.750203123519817</v>
                </pt>
                <pt idx="218">
                  <v>5.678811857288181</v>
                </pt>
                <pt idx="219">
                  <v>5.614214368280834</v>
                </pt>
                <pt idx="220">
                  <v>5.555764143115817</v>
                </pt>
                <pt idx="221">
                  <v>5.502876192293883</v>
                </pt>
                <pt idx="222">
                  <v>5.455021195426952</v>
                </pt>
                <pt idx="223">
                  <v>5.411720203621758</v>
                </pt>
                <pt idx="224">
                  <v>5.372539845998353</v>
                </pt>
                <pt idx="225">
                  <v>5.337087992368663</v>
                </pt>
                <pt idx="226">
                  <v>5.305009828665786</v>
                </pt>
                <pt idx="227">
                  <v>5.275984305845541</v>
                </pt>
                <pt idx="228">
                  <v>5.249720926719725</v>
                </pt>
                <pt idx="229">
                  <v>5.225956838562624</v>
                </pt>
                <pt idx="230">
                  <v>5.204454202392572</v>
                </pt>
                <pt idx="231">
                  <v>5.184997812599496</v>
                </pt>
                <pt idx="232">
                  <v>5.167392943094829</v>
                </pt>
                <pt idx="233">
                  <v>5.151463398427365</v>
                </pt>
                <pt idx="234">
                  <v>5.137049750359969</v>
                </pt>
                <pt idx="235">
                  <v>5.124007742258187</v>
                </pt>
                <pt idx="236">
                  <v>5.112206845321366</v>
                </pt>
                <pt idx="237">
                  <v>5.101528952206546</v>
                </pt>
                <pt idx="238">
                  <v>5.091867194970467</v>
                </pt>
                <pt idx="239">
                  <v>5.083124875499283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0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Airway Pressure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PCV!$C$27</f>
              <strCache>
                <ptCount val="1"/>
                <pt idx="0">
                  <v>Paw (cmH2O)</v>
                </pt>
              </strCache>
            </strRef>
          </tx>
          <spPr>
            <a:ln xmlns:a="http://schemas.openxmlformats.org/drawingml/2006/main" w="22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PCV!$C$28:$C$267</f>
              <numCache>
                <formatCode>0.000</formatCode>
                <ptCount val="240"/>
                <pt idx="0">
                  <v>20</v>
                </pt>
                <pt idx="1">
                  <v>20</v>
                </pt>
                <pt idx="2">
                  <v>20</v>
                </pt>
                <pt idx="3">
                  <v>20</v>
                </pt>
                <pt idx="4">
                  <v>20</v>
                </pt>
                <pt idx="5">
                  <v>20</v>
                </pt>
                <pt idx="6">
                  <v>20</v>
                </pt>
                <pt idx="7">
                  <v>20</v>
                </pt>
                <pt idx="8">
                  <v>20</v>
                </pt>
                <pt idx="9">
                  <v>20</v>
                </pt>
                <pt idx="10">
                  <v>20</v>
                </pt>
                <pt idx="11">
                  <v>20</v>
                </pt>
                <pt idx="12">
                  <v>20</v>
                </pt>
                <pt idx="13">
                  <v>20</v>
                </pt>
                <pt idx="14">
                  <v>20</v>
                </pt>
                <pt idx="15">
                  <v>20</v>
                </pt>
                <pt idx="16">
                  <v>20</v>
                </pt>
                <pt idx="17">
                  <v>20</v>
                </pt>
                <pt idx="18">
                  <v>20</v>
                </pt>
                <pt idx="19">
                  <v>20</v>
                </pt>
                <pt idx="20">
                  <v>20</v>
                </pt>
                <pt idx="21">
                  <v>20</v>
                </pt>
                <pt idx="22">
                  <v>20</v>
                </pt>
                <pt idx="23">
                  <v>20</v>
                </pt>
                <pt idx="24">
                  <v>20</v>
                </pt>
                <pt idx="25">
                  <v>20</v>
                </pt>
                <pt idx="26">
                  <v>20</v>
                </pt>
                <pt idx="27">
                  <v>5</v>
                </pt>
                <pt idx="28">
                  <v>5</v>
                </pt>
                <pt idx="29">
                  <v>5</v>
                </pt>
                <pt idx="30">
                  <v>5</v>
                </pt>
                <pt idx="31">
                  <v>5</v>
                </pt>
                <pt idx="32">
                  <v>5</v>
                </pt>
                <pt idx="33">
                  <v>5</v>
                </pt>
                <pt idx="34">
                  <v>5</v>
                </pt>
                <pt idx="35">
                  <v>5</v>
                </pt>
                <pt idx="36">
                  <v>5</v>
                </pt>
                <pt idx="37">
                  <v>5</v>
                </pt>
                <pt idx="38">
                  <v>5</v>
                </pt>
                <pt idx="39">
                  <v>5</v>
                </pt>
                <pt idx="40">
                  <v>5</v>
                </pt>
                <pt idx="41">
                  <v>5</v>
                </pt>
                <pt idx="42">
                  <v>5</v>
                </pt>
                <pt idx="43">
                  <v>5</v>
                </pt>
                <pt idx="44">
                  <v>5</v>
                </pt>
                <pt idx="45">
                  <v>5</v>
                </pt>
                <pt idx="46">
                  <v>5</v>
                </pt>
                <pt idx="47">
                  <v>5</v>
                </pt>
                <pt idx="48">
                  <v>5</v>
                </pt>
                <pt idx="49">
                  <v>5</v>
                </pt>
                <pt idx="50">
                  <v>5</v>
                </pt>
                <pt idx="51">
                  <v>5</v>
                </pt>
                <pt idx="52">
                  <v>5</v>
                </pt>
                <pt idx="53">
                  <v>5</v>
                </pt>
                <pt idx="54">
                  <v>5</v>
                </pt>
                <pt idx="55">
                  <v>5</v>
                </pt>
                <pt idx="56">
                  <v>5</v>
                </pt>
                <pt idx="57">
                  <v>5</v>
                </pt>
                <pt idx="58">
                  <v>5</v>
                </pt>
                <pt idx="59">
                  <v>5</v>
                </pt>
                <pt idx="60">
                  <v>5</v>
                </pt>
                <pt idx="61">
                  <v>5</v>
                </pt>
                <pt idx="62">
                  <v>5</v>
                </pt>
                <pt idx="63">
                  <v>5</v>
                </pt>
                <pt idx="64">
                  <v>5</v>
                </pt>
                <pt idx="65">
                  <v>5</v>
                </pt>
                <pt idx="66">
                  <v>5</v>
                </pt>
                <pt idx="67">
                  <v>5</v>
                </pt>
                <pt idx="68">
                  <v>5</v>
                </pt>
                <pt idx="69">
                  <v>5</v>
                </pt>
                <pt idx="70">
                  <v>5</v>
                </pt>
                <pt idx="71">
                  <v>5</v>
                </pt>
                <pt idx="72">
                  <v>5</v>
                </pt>
                <pt idx="73">
                  <v>5</v>
                </pt>
                <pt idx="74">
                  <v>5</v>
                </pt>
                <pt idx="75">
                  <v>5</v>
                </pt>
                <pt idx="76">
                  <v>5</v>
                </pt>
                <pt idx="77">
                  <v>5</v>
                </pt>
                <pt idx="78">
                  <v>5</v>
                </pt>
                <pt idx="79">
                  <v>5</v>
                </pt>
                <pt idx="80">
                  <v>20</v>
                </pt>
                <pt idx="81">
                  <v>20</v>
                </pt>
                <pt idx="82">
                  <v>20</v>
                </pt>
                <pt idx="83">
                  <v>20</v>
                </pt>
                <pt idx="84">
                  <v>20</v>
                </pt>
                <pt idx="85">
                  <v>20</v>
                </pt>
                <pt idx="86">
                  <v>20</v>
                </pt>
                <pt idx="87">
                  <v>20</v>
                </pt>
                <pt idx="88">
                  <v>20</v>
                </pt>
                <pt idx="89">
                  <v>20</v>
                </pt>
                <pt idx="90">
                  <v>20</v>
                </pt>
                <pt idx="91">
                  <v>20</v>
                </pt>
                <pt idx="92">
                  <v>20</v>
                </pt>
                <pt idx="93">
                  <v>20</v>
                </pt>
                <pt idx="94">
                  <v>20</v>
                </pt>
                <pt idx="95">
                  <v>20</v>
                </pt>
                <pt idx="96">
                  <v>20</v>
                </pt>
                <pt idx="97">
                  <v>20</v>
                </pt>
                <pt idx="98">
                  <v>20</v>
                </pt>
                <pt idx="99">
                  <v>20</v>
                </pt>
                <pt idx="100">
                  <v>20</v>
                </pt>
                <pt idx="101">
                  <v>20</v>
                </pt>
                <pt idx="102">
                  <v>20</v>
                </pt>
                <pt idx="103">
                  <v>20</v>
                </pt>
                <pt idx="104">
                  <v>20</v>
                </pt>
                <pt idx="105">
                  <v>20</v>
                </pt>
                <pt idx="106">
                  <v>20</v>
                </pt>
                <pt idx="107">
                  <v>5</v>
                </pt>
                <pt idx="108">
                  <v>5</v>
                </pt>
                <pt idx="109">
                  <v>5</v>
                </pt>
                <pt idx="110">
                  <v>5</v>
                </pt>
                <pt idx="111">
                  <v>5</v>
                </pt>
                <pt idx="112">
                  <v>5</v>
                </pt>
                <pt idx="113">
                  <v>5</v>
                </pt>
                <pt idx="114">
                  <v>5</v>
                </pt>
                <pt idx="115">
                  <v>5</v>
                </pt>
                <pt idx="116">
                  <v>5</v>
                </pt>
                <pt idx="117">
                  <v>5</v>
                </pt>
                <pt idx="118">
                  <v>5</v>
                </pt>
                <pt idx="119">
                  <v>5</v>
                </pt>
                <pt idx="120">
                  <v>5</v>
                </pt>
                <pt idx="121">
                  <v>5</v>
                </pt>
                <pt idx="122">
                  <v>5</v>
                </pt>
                <pt idx="123">
                  <v>5</v>
                </pt>
                <pt idx="124">
                  <v>5</v>
                </pt>
                <pt idx="125">
                  <v>5</v>
                </pt>
                <pt idx="126">
                  <v>5</v>
                </pt>
                <pt idx="127">
                  <v>5</v>
                </pt>
                <pt idx="128">
                  <v>5</v>
                </pt>
                <pt idx="129">
                  <v>5</v>
                </pt>
                <pt idx="130">
                  <v>5</v>
                </pt>
                <pt idx="131">
                  <v>5</v>
                </pt>
                <pt idx="132">
                  <v>5</v>
                </pt>
                <pt idx="133">
                  <v>5</v>
                </pt>
                <pt idx="134">
                  <v>5</v>
                </pt>
                <pt idx="135">
                  <v>5</v>
                </pt>
                <pt idx="136">
                  <v>5</v>
                </pt>
                <pt idx="137">
                  <v>5</v>
                </pt>
                <pt idx="138">
                  <v>5</v>
                </pt>
                <pt idx="139">
                  <v>5</v>
                </pt>
                <pt idx="140">
                  <v>5</v>
                </pt>
                <pt idx="141">
                  <v>5</v>
                </pt>
                <pt idx="142">
                  <v>5</v>
                </pt>
                <pt idx="143">
                  <v>5</v>
                </pt>
                <pt idx="144">
                  <v>5</v>
                </pt>
                <pt idx="145">
                  <v>5</v>
                </pt>
                <pt idx="146">
                  <v>5</v>
                </pt>
                <pt idx="147">
                  <v>5</v>
                </pt>
                <pt idx="148">
                  <v>5</v>
                </pt>
                <pt idx="149">
                  <v>5</v>
                </pt>
                <pt idx="150">
                  <v>5</v>
                </pt>
                <pt idx="151">
                  <v>5</v>
                </pt>
                <pt idx="152">
                  <v>5</v>
                </pt>
                <pt idx="153">
                  <v>5</v>
                </pt>
                <pt idx="154">
                  <v>5</v>
                </pt>
                <pt idx="155">
                  <v>5</v>
                </pt>
                <pt idx="156">
                  <v>5</v>
                </pt>
                <pt idx="157">
                  <v>5</v>
                </pt>
                <pt idx="158">
                  <v>5</v>
                </pt>
                <pt idx="159">
                  <v>5</v>
                </pt>
                <pt idx="160">
                  <v>20</v>
                </pt>
                <pt idx="161">
                  <v>20</v>
                </pt>
                <pt idx="162">
                  <v>20</v>
                </pt>
                <pt idx="163">
                  <v>20</v>
                </pt>
                <pt idx="164">
                  <v>20</v>
                </pt>
                <pt idx="165">
                  <v>20</v>
                </pt>
                <pt idx="166">
                  <v>20</v>
                </pt>
                <pt idx="167">
                  <v>20</v>
                </pt>
                <pt idx="168">
                  <v>20</v>
                </pt>
                <pt idx="169">
                  <v>20</v>
                </pt>
                <pt idx="170">
                  <v>20</v>
                </pt>
                <pt idx="171">
                  <v>20</v>
                </pt>
                <pt idx="172">
                  <v>20</v>
                </pt>
                <pt idx="173">
                  <v>20</v>
                </pt>
                <pt idx="174">
                  <v>20</v>
                </pt>
                <pt idx="175">
                  <v>20</v>
                </pt>
                <pt idx="176">
                  <v>20</v>
                </pt>
                <pt idx="177">
                  <v>20</v>
                </pt>
                <pt idx="178">
                  <v>20</v>
                </pt>
                <pt idx="179">
                  <v>20</v>
                </pt>
                <pt idx="180">
                  <v>20</v>
                </pt>
                <pt idx="181">
                  <v>20</v>
                </pt>
                <pt idx="182">
                  <v>20</v>
                </pt>
                <pt idx="183">
                  <v>20</v>
                </pt>
                <pt idx="184">
                  <v>20</v>
                </pt>
                <pt idx="185">
                  <v>20</v>
                </pt>
                <pt idx="186">
                  <v>20</v>
                </pt>
                <pt idx="187">
                  <v>5</v>
                </pt>
                <pt idx="188">
                  <v>5</v>
                </pt>
                <pt idx="189">
                  <v>5</v>
                </pt>
                <pt idx="190">
                  <v>5</v>
                </pt>
                <pt idx="191">
                  <v>5</v>
                </pt>
                <pt idx="192">
                  <v>5</v>
                </pt>
                <pt idx="193">
                  <v>5</v>
                </pt>
                <pt idx="194">
                  <v>5</v>
                </pt>
                <pt idx="195">
                  <v>5</v>
                </pt>
                <pt idx="196">
                  <v>5</v>
                </pt>
                <pt idx="197">
                  <v>5</v>
                </pt>
                <pt idx="198">
                  <v>5</v>
                </pt>
                <pt idx="199">
                  <v>5</v>
                </pt>
                <pt idx="200">
                  <v>5</v>
                </pt>
                <pt idx="201">
                  <v>5</v>
                </pt>
                <pt idx="202">
                  <v>5</v>
                </pt>
                <pt idx="203">
                  <v>5</v>
                </pt>
                <pt idx="204">
                  <v>5</v>
                </pt>
                <pt idx="205">
                  <v>5</v>
                </pt>
                <pt idx="206">
                  <v>5</v>
                </pt>
                <pt idx="207">
                  <v>5</v>
                </pt>
                <pt idx="208">
                  <v>5</v>
                </pt>
                <pt idx="209">
                  <v>5</v>
                </pt>
                <pt idx="210">
                  <v>5</v>
                </pt>
                <pt idx="211">
                  <v>5</v>
                </pt>
                <pt idx="212">
                  <v>5</v>
                </pt>
                <pt idx="213">
                  <v>5</v>
                </pt>
                <pt idx="214">
                  <v>5</v>
                </pt>
                <pt idx="215">
                  <v>5</v>
                </pt>
                <pt idx="216">
                  <v>5</v>
                </pt>
                <pt idx="217">
                  <v>5</v>
                </pt>
                <pt idx="218">
                  <v>5</v>
                </pt>
                <pt idx="219">
                  <v>5</v>
                </pt>
                <pt idx="220">
                  <v>5</v>
                </pt>
                <pt idx="221">
                  <v>5</v>
                </pt>
                <pt idx="222">
                  <v>5</v>
                </pt>
                <pt idx="223">
                  <v>5</v>
                </pt>
                <pt idx="224">
                  <v>5</v>
                </pt>
                <pt idx="225">
                  <v>5</v>
                </pt>
                <pt idx="226">
                  <v>5</v>
                </pt>
                <pt idx="227">
                  <v>5</v>
                </pt>
                <pt idx="228">
                  <v>5</v>
                </pt>
                <pt idx="229">
                  <v>5</v>
                </pt>
                <pt idx="230">
                  <v>5</v>
                </pt>
                <pt idx="231">
                  <v>5</v>
                </pt>
                <pt idx="232">
                  <v>5</v>
                </pt>
                <pt idx="233">
                  <v>5</v>
                </pt>
                <pt idx="234">
                  <v>5</v>
                </pt>
                <pt idx="235">
                  <v>5</v>
                </pt>
                <pt idx="236">
                  <v>5</v>
                </pt>
                <pt idx="237">
                  <v>5</v>
                </pt>
                <pt idx="238">
                  <v>5</v>
                </pt>
                <pt idx="239">
                  <v>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Flow-Time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PCV!$D$27</f>
              <strCache>
                <ptCount val="1"/>
                <pt idx="0">
                  <v>Flow (L/min)</v>
                </pt>
              </strCache>
            </strRef>
          </tx>
          <spPr>
            <a:ln xmlns:a="http://schemas.openxmlformats.org/drawingml/2006/main" w="22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PCV!$D$28:$D$267</f>
              <numCache>
                <formatCode>0.000</formatCode>
                <ptCount val="240"/>
                <pt idx="0">
                  <v>180</v>
                </pt>
                <pt idx="1">
                  <v>147.3715355540367</v>
                </pt>
                <pt idx="2">
                  <v>120.6576082864151</v>
                </pt>
                <pt idx="3">
                  <v>98.78609449692475</v>
                </pt>
                <pt idx="4">
                  <v>80.87921354109989</v>
                </pt>
                <pt idx="5">
                  <v>66.21829941085961</v>
                </pt>
                <pt idx="6">
                  <v>54.21495814419638</v>
                </pt>
                <pt idx="7">
                  <v>44.38745350948917</v>
                </pt>
                <pt idx="8">
                  <v>36.34137323903797</v>
                </pt>
                <pt idx="9">
                  <v>29.75379987988557</v>
                </pt>
                <pt idx="10">
                  <v>24.36035098259029</v>
                </pt>
                <pt idx="11">
                  <v>19.94456850522009</v>
                </pt>
                <pt idx="12">
                  <v>16.32923159209425</v>
                </pt>
                <pt idx="13">
                  <v>13.3692440785801</v>
                </pt>
                <pt idx="14">
                  <v>10.94581127253923</v>
                </pt>
                <pt idx="15">
                  <v>8.96167230621551</v>
                </pt>
                <pt idx="16">
                  <v>7.337196716105917</v>
                </pt>
                <pt idx="17">
                  <v>6.007188592858695</v>
                </pt>
                <pt idx="18">
                  <v>4.91827004051266</v>
                </pt>
                <pt idx="19">
                  <v>4.026738934109809</v>
                </pt>
                <pt idx="20">
                  <v>3.296814999972152</v>
                </pt>
                <pt idx="21">
                  <v>2.699203827685987</v>
                </pt>
                <pt idx="22">
                  <v>2.209921182552318</v>
                </pt>
                <pt idx="23">
                  <v>1.809330434034045</v>
                </pt>
                <pt idx="24">
                  <v>1.481354468823605</v>
                </pt>
                <pt idx="25">
                  <v>1.212830459835384</v>
                </pt>
                <pt idx="26">
                  <v>0.9929815957369389</v>
                </pt>
                <pt idx="27">
                  <v>-158.832694039418</v>
                </pt>
                <pt idx="28">
                  <v>-130.0412112042975</v>
                </pt>
                <pt idx="29">
                  <v>-106.4687387804674</v>
                </pt>
                <pt idx="30">
                  <v>-87.16923068099499</v>
                </pt>
                <pt idx="31">
                  <v>-71.36812988067932</v>
                </pt>
                <pt idx="32">
                  <v>-58.43128272297579</v>
                </pt>
                <pt idx="33">
                  <v>-47.83948810709448</v>
                </pt>
                <pt idx="34">
                  <v>-39.16766012478661</v>
                </pt>
                <pt idx="35">
                  <v>-32.06776787026897</v>
                </pt>
                <pt idx="36">
                  <v>-26.25486773795523</v>
                </pt>
                <pt idx="37">
                  <v>-21.49566763505889</v>
                </pt>
                <pt idx="38">
                  <v>-17.59916415076578</v>
                </pt>
                <pt idx="39">
                  <v>-14.40897691869948</v>
                </pt>
                <pt idx="40">
                  <v>-11.79707252373009</v>
                </pt>
                <pt idx="41">
                  <v>-9.658626071469106</v>
                </pt>
                <pt idx="42">
                  <v>-7.907814197192522</v>
                </pt>
                <pt idx="43">
                  <v>-6.474370672868195</v>
                </pt>
                <pt idx="44">
                  <v>-5.300766376703372</v>
                </pt>
                <pt idx="45">
                  <v>-4.3399004474888</v>
                </pt>
                <pt idx="46">
                  <v>-3.553209961655978</v>
                </pt>
                <pt idx="47">
                  <v>-2.909122267750783</v>
                </pt>
                <pt idx="48">
                  <v>-2.381787865071527</v>
                </pt>
                <pt idx="49">
                  <v>-1.950042972442007</v>
                </pt>
                <pt idx="50">
                  <v>-1.596560151361872</v>
                </pt>
                <pt idx="51">
                  <v>-1.307152895058803</v>
                </pt>
                <pt idx="52">
                  <v>-1.070206274159557</v>
                </pt>
                <pt idx="53">
                  <v>-0.8762107887914359</v>
                </pt>
                <pt idx="54">
                  <v>-0.7173807189622641</v>
                </pt>
                <pt idx="55">
                  <v>-0.5873416562795989</v>
                </pt>
                <pt idx="56">
                  <v>-0.4808746765598655</v>
                </pt>
                <pt idx="57">
                  <v>-0.3937068860759893</v>
                </pt>
                <pt idx="58">
                  <v>-0.3223399353289821</v>
                </pt>
                <pt idx="59">
                  <v>-0.2639096179990053</v>
                </pt>
                <pt idx="60">
                  <v>-0.2160709202888482</v>
                </pt>
                <pt idx="61">
                  <v>-0.1769039072863414</v>
                </pt>
                <pt idx="62">
                  <v>-0.1448366692349836</v>
                </pt>
                <pt idx="63">
                  <v>-0.1185822352760648</v>
                </pt>
                <pt idx="64">
                  <v>-0.09708692278924286</v>
                </pt>
                <pt idx="65">
                  <v>-0.07948804940926074</v>
                </pt>
                <pt idx="66">
                  <v>-0.06507931055354392</v>
                </pt>
                <pt idx="67">
                  <v>-0.05328243293929876</v>
                </pt>
                <pt idx="68">
                  <v>-0.04362396644621917</v>
                </pt>
                <pt idx="69">
                  <v>-0.03571628290076165</v>
                </pt>
                <pt idx="70">
                  <v>-0.02924201919648687</v>
                </pt>
                <pt idx="71">
                  <v>-0.02394134039826051</v>
                </pt>
                <pt idx="72">
                  <v>-0.01960151165396408</v>
                </pt>
                <pt idx="73">
                  <v>-0.01604836039791686</v>
                </pt>
                <pt idx="74">
                  <v>-0.01313928619425334</v>
                </pt>
                <pt idx="75">
                  <v>-0.01075753768072818</v>
                </pt>
                <pt idx="76">
                  <v>-0.008807526926607353</v>
                </pt>
                <pt idx="77">
                  <v>-0.00721099315337582</v>
                </pt>
                <pt idx="78">
                  <v>-0.005903861854903561</v>
                </pt>
                <pt idx="79">
                  <v>-0.004833673262533567</v>
                </pt>
                <pt idx="80">
                  <v>180</v>
                </pt>
                <pt idx="81">
                  <v>147.3715355540369</v>
                </pt>
                <pt idx="82">
                  <v>120.6576082864152</v>
                </pt>
                <pt idx="83">
                  <v>98.7860944969246</v>
                </pt>
                <pt idx="84">
                  <v>80.87921354109983</v>
                </pt>
                <pt idx="85">
                  <v>66.21829941085961</v>
                </pt>
                <pt idx="86">
                  <v>54.21495814419642</v>
                </pt>
                <pt idx="87">
                  <v>44.38745350948923</v>
                </pt>
                <pt idx="88">
                  <v>36.34137323903792</v>
                </pt>
                <pt idx="89">
                  <v>29.75379987988556</v>
                </pt>
                <pt idx="90">
                  <v>24.36035098259029</v>
                </pt>
                <pt idx="91">
                  <v>19.94456850522011</v>
                </pt>
                <pt idx="92">
                  <v>16.32923159209427</v>
                </pt>
                <pt idx="93">
                  <v>13.36924407858008</v>
                </pt>
                <pt idx="94">
                  <v>10.94581127253923</v>
                </pt>
                <pt idx="95">
                  <v>8.96167230621551</v>
                </pt>
                <pt idx="96">
                  <v>7.337196716105924</v>
                </pt>
                <pt idx="97">
                  <v>6.007188592858703</v>
                </pt>
                <pt idx="98">
                  <v>4.918270040512654</v>
                </pt>
                <pt idx="99">
                  <v>4.026738934109805</v>
                </pt>
                <pt idx="100">
                  <v>3.296814999972152</v>
                </pt>
                <pt idx="101">
                  <v>2.699203827685989</v>
                </pt>
                <pt idx="102">
                  <v>2.209921182552323</v>
                </pt>
                <pt idx="103">
                  <v>1.809330434034042</v>
                </pt>
                <pt idx="104">
                  <v>1.481354468823604</v>
                </pt>
                <pt idx="105">
                  <v>1.212830459835384</v>
                </pt>
                <pt idx="106">
                  <v>0.9929815957369399</v>
                </pt>
                <pt idx="107">
                  <v>-158.8326940394184</v>
                </pt>
                <pt idx="108">
                  <v>-130.0412112042973</v>
                </pt>
                <pt idx="109">
                  <v>-106.4687387804673</v>
                </pt>
                <pt idx="110">
                  <v>-87.16923068099499</v>
                </pt>
                <pt idx="111">
                  <v>-71.3681298806794</v>
                </pt>
                <pt idx="112">
                  <v>-58.43128272297589</v>
                </pt>
                <pt idx="113">
                  <v>-47.83948810709439</v>
                </pt>
                <pt idx="114">
                  <v>-39.16766012478658</v>
                </pt>
                <pt idx="115">
                  <v>-32.06776787026897</v>
                </pt>
                <pt idx="116">
                  <v>-26.25486773795525</v>
                </pt>
                <pt idx="117">
                  <v>-21.49566763505893</v>
                </pt>
                <pt idx="118">
                  <v>-17.59916415076575</v>
                </pt>
                <pt idx="119">
                  <v>-14.40897691869947</v>
                </pt>
                <pt idx="120">
                  <v>-11.79707252373009</v>
                </pt>
                <pt idx="121">
                  <v>-9.658626071469106</v>
                </pt>
                <pt idx="122">
                  <v>-7.907814197192537</v>
                </pt>
                <pt idx="123">
                  <v>-6.474370672868184</v>
                </pt>
                <pt idx="124">
                  <v>-5.300766376703372</v>
                </pt>
                <pt idx="125">
                  <v>-4.3399004474888</v>
                </pt>
                <pt idx="126">
                  <v>-3.553209961655978</v>
                </pt>
                <pt idx="127">
                  <v>-2.909122267750788</v>
                </pt>
                <pt idx="128">
                  <v>-2.381787865071523</v>
                </pt>
                <pt idx="129">
                  <v>-1.950042972442007</v>
                </pt>
                <pt idx="130">
                  <v>-1.596560151361872</v>
                </pt>
                <pt idx="131">
                  <v>-1.307152895058803</v>
                </pt>
                <pt idx="132">
                  <v>-1.070206274159559</v>
                </pt>
                <pt idx="133">
                  <v>-0.8762107887914343</v>
                </pt>
                <pt idx="134">
                  <v>-0.7173807189622641</v>
                </pt>
                <pt idx="135">
                  <v>-0.5873416562795989</v>
                </pt>
                <pt idx="136">
                  <v>-0.4808746765598655</v>
                </pt>
                <pt idx="137">
                  <v>-0.39370688607599</v>
                </pt>
                <pt idx="138">
                  <v>-0.3223399353289815</v>
                </pt>
                <pt idx="139">
                  <v>-0.2639096179990053</v>
                </pt>
                <pt idx="140">
                  <v>-0.2160709202888482</v>
                </pt>
                <pt idx="141">
                  <v>-0.1769039072863414</v>
                </pt>
                <pt idx="142">
                  <v>-0.1448366692349839</v>
                </pt>
                <pt idx="143">
                  <v>-0.1185822352760646</v>
                </pt>
                <pt idx="144">
                  <v>-0.09708692278924286</v>
                </pt>
                <pt idx="145">
                  <v>-0.07948804940926074</v>
                </pt>
                <pt idx="146">
                  <v>-0.06507931055354392</v>
                </pt>
                <pt idx="147">
                  <v>-0.05328243293929895</v>
                </pt>
                <pt idx="148">
                  <v>-0.04362396644621917</v>
                </pt>
                <pt idx="149">
                  <v>-0.03571628290076165</v>
                </pt>
                <pt idx="150">
                  <v>-0.02924201919648687</v>
                </pt>
                <pt idx="151">
                  <v>-0.02394134039826051</v>
                </pt>
                <pt idx="152">
                  <v>-0.01960151165396415</v>
                </pt>
                <pt idx="153">
                  <v>-0.01604836039791686</v>
                </pt>
                <pt idx="154">
                  <v>-0.01313928619425334</v>
                </pt>
                <pt idx="155">
                  <v>-0.01075753768072818</v>
                </pt>
                <pt idx="156">
                  <v>-0.008807526926607353</v>
                </pt>
                <pt idx="157">
                  <v>-0.007210993153375846</v>
                </pt>
                <pt idx="158">
                  <v>-0.005903861854903561</v>
                </pt>
                <pt idx="159">
                  <v>-0.004833673262533567</v>
                </pt>
                <pt idx="160">
                  <v>180</v>
                </pt>
                <pt idx="161">
                  <v>147.3715355540363</v>
                </pt>
                <pt idx="162">
                  <v>120.6576082864152</v>
                </pt>
                <pt idx="163">
                  <v>98.7860944969246</v>
                </pt>
                <pt idx="164">
                  <v>80.87921354110011</v>
                </pt>
                <pt idx="165">
                  <v>66.21829941085961</v>
                </pt>
                <pt idx="166">
                  <v>54.21495814419622</v>
                </pt>
                <pt idx="167">
                  <v>44.38745350948923</v>
                </pt>
                <pt idx="168">
                  <v>36.34137323903792</v>
                </pt>
                <pt idx="169">
                  <v>29.75379987988566</v>
                </pt>
                <pt idx="170">
                  <v>24.36035098259029</v>
                </pt>
                <pt idx="171">
                  <v>19.94456850522004</v>
                </pt>
                <pt idx="172">
                  <v>16.32923159209427</v>
                </pt>
                <pt idx="173">
                  <v>13.36924407858008</v>
                </pt>
                <pt idx="174">
                  <v>10.94581127253926</v>
                </pt>
                <pt idx="175">
                  <v>8.96167230621551</v>
                </pt>
                <pt idx="176">
                  <v>7.337196716105898</v>
                </pt>
                <pt idx="177">
                  <v>6.007188592858703</v>
                </pt>
                <pt idx="178">
                  <v>4.918270040512654</v>
                </pt>
                <pt idx="179">
                  <v>4.026738934109819</v>
                </pt>
                <pt idx="180">
                  <v>3.296814999972152</v>
                </pt>
                <pt idx="181">
                  <v>2.69920382768598</v>
                </pt>
                <pt idx="182">
                  <v>2.209921182552323</v>
                </pt>
                <pt idx="183">
                  <v>1.809330434034042</v>
                </pt>
                <pt idx="184">
                  <v>1.481354468823609</v>
                </pt>
                <pt idx="185">
                  <v>1.212830459835384</v>
                </pt>
                <pt idx="186">
                  <v>0.9929815957369361</v>
                </pt>
                <pt idx="187">
                  <v>-158.8326940394184</v>
                </pt>
                <pt idx="188">
                  <v>-130.0412112042973</v>
                </pt>
                <pt idx="189">
                  <v>-106.4687387804677</v>
                </pt>
                <pt idx="190">
                  <v>-87.16923068099499</v>
                </pt>
                <pt idx="191">
                  <v>-71.36812988067913</v>
                </pt>
                <pt idx="192">
                  <v>-58.43128272297589</v>
                </pt>
                <pt idx="193">
                  <v>-47.83948810709439</v>
                </pt>
                <pt idx="194">
                  <v>-39.16766012478671</v>
                </pt>
                <pt idx="195">
                  <v>-32.06776787026897</v>
                </pt>
                <pt idx="196">
                  <v>-26.25486773795516</v>
                </pt>
                <pt idx="197">
                  <v>-21.49566763505893</v>
                </pt>
                <pt idx="198">
                  <v>-17.59916415076575</v>
                </pt>
                <pt idx="199">
                  <v>-14.40897691869952</v>
                </pt>
                <pt idx="200">
                  <v>-11.79707252373009</v>
                </pt>
                <pt idx="201">
                  <v>-9.658626071469071</v>
                </pt>
                <pt idx="202">
                  <v>-7.907814197192537</v>
                </pt>
                <pt idx="203">
                  <v>-6.474370672868184</v>
                </pt>
                <pt idx="204">
                  <v>-5.300766376703391</v>
                </pt>
                <pt idx="205">
                  <v>-4.3399004474888</v>
                </pt>
                <pt idx="206">
                  <v>-3.553209961655966</v>
                </pt>
                <pt idx="207">
                  <v>-2.909122267750788</v>
                </pt>
                <pt idx="208">
                  <v>-2.381787865071523</v>
                </pt>
                <pt idx="209">
                  <v>-1.950042972442015</v>
                </pt>
                <pt idx="210">
                  <v>-1.596560151361872</v>
                </pt>
                <pt idx="211">
                  <v>-1.307152895058799</v>
                </pt>
                <pt idx="212">
                  <v>-1.070206274159559</v>
                </pt>
                <pt idx="213">
                  <v>-0.8762107887914343</v>
                </pt>
                <pt idx="214">
                  <v>-0.7173807189622665</v>
                </pt>
                <pt idx="215">
                  <v>-0.5873416562795989</v>
                </pt>
                <pt idx="216">
                  <v>-0.4808746765598638</v>
                </pt>
                <pt idx="217">
                  <v>-0.39370688607599</v>
                </pt>
                <pt idx="218">
                  <v>-0.3223399353289815</v>
                </pt>
                <pt idx="219">
                  <v>-0.2639096179990062</v>
                </pt>
                <pt idx="220">
                  <v>-0.2160709202888482</v>
                </pt>
                <pt idx="221">
                  <v>-0.1769039072863408</v>
                </pt>
                <pt idx="222">
                  <v>-0.1448366692349839</v>
                </pt>
                <pt idx="223">
                  <v>-0.1185822352760646</v>
                </pt>
                <pt idx="224">
                  <v>-0.0970869227892432</v>
                </pt>
                <pt idx="225">
                  <v>-0.07948804940926074</v>
                </pt>
                <pt idx="226">
                  <v>-0.0650793105535437</v>
                </pt>
                <pt idx="227">
                  <v>-0.05328243293929895</v>
                </pt>
                <pt idx="228">
                  <v>-0.04362396644621917</v>
                </pt>
                <pt idx="229">
                  <v>-0.03571628290076179</v>
                </pt>
                <pt idx="230">
                  <v>-0.02924201919648687</v>
                </pt>
                <pt idx="231">
                  <v>-0.02394134039826043</v>
                </pt>
                <pt idx="232">
                  <v>-0.01960151165396415</v>
                </pt>
                <pt idx="233">
                  <v>-0.01604836039791686</v>
                </pt>
                <pt idx="234">
                  <v>-0.01313928619425339</v>
                </pt>
                <pt idx="235">
                  <v>-0.01075753768072818</v>
                </pt>
                <pt idx="236">
                  <v>-0.00880752692660732</v>
                </pt>
                <pt idx="237">
                  <v>-0.007210993153375846</v>
                </pt>
                <pt idx="238">
                  <v>-0.005903861854903561</v>
                </pt>
                <pt idx="239">
                  <v>-0.004833673262533584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Flow (L/min)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Volume-Time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PCV!$E$27</f>
              <strCache>
                <ptCount val="1"/>
                <pt idx="0">
                  <v>Volume (mL)</v>
                </pt>
              </strCache>
            </strRef>
          </tx>
          <spPr>
            <a:ln xmlns:a="http://schemas.openxmlformats.org/drawingml/2006/main" w="22000">
              <a:solidFill>
                <a:srgbClr val="7030A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PCV!$E$28:$E$267</f>
              <numCache>
                <formatCode>0.0</formatCode>
                <ptCount val="240"/>
                <pt idx="0">
                  <v>0</v>
                </pt>
                <pt idx="1">
                  <v>135.9519351915136</v>
                </pt>
                <pt idx="2">
                  <v>247.2599654732705</v>
                </pt>
                <pt idx="3">
                  <v>338.3912729294802</v>
                </pt>
                <pt idx="4">
                  <v>413.0032769120838</v>
                </pt>
                <pt idx="5">
                  <v>474.0904191214182</v>
                </pt>
                <pt idx="6">
                  <v>524.1043410658483</v>
                </pt>
                <pt idx="7">
                  <v>565.0522770437951</v>
                </pt>
                <pt idx="8">
                  <v>598.5776115040085</v>
                </pt>
                <pt idx="9">
                  <v>626.02583383381</v>
                </pt>
                <pt idx="10">
                  <v>648.4985375725405</v>
                </pt>
                <pt idx="11">
                  <v>666.8976312282496</v>
                </pt>
                <pt idx="12">
                  <v>681.9615350329407</v>
                </pt>
                <pt idx="13">
                  <v>694.2948163392496</v>
                </pt>
                <pt idx="14">
                  <v>704.3924530310866</v>
                </pt>
                <pt idx="15">
                  <v>712.6596987241021</v>
                </pt>
                <pt idx="16">
                  <v>719.4283470162254</v>
                </pt>
                <pt idx="17">
                  <v>724.9700475297554</v>
                </pt>
                <pt idx="18">
                  <v>729.5072081645307</v>
                </pt>
                <pt idx="19">
                  <v>733.2219211078758</v>
                </pt>
                <pt idx="20">
                  <v>736.2632708334494</v>
                </pt>
                <pt idx="21">
                  <v>738.7533173846417</v>
                </pt>
                <pt idx="22">
                  <v>740.7919950726987</v>
                </pt>
                <pt idx="23">
                  <v>742.4611231915248</v>
                </pt>
                <pt idx="24">
                  <v>743.827689713235</v>
                </pt>
                <pt idx="25">
                  <v>744.9465397506859</v>
                </pt>
                <pt idx="26">
                  <v>745.8625766844294</v>
                </pt>
                <pt idx="27">
                  <v>661.8028918309086</v>
                </pt>
                <pt idx="28">
                  <v>541.8383800179064</v>
                </pt>
                <pt idx="29">
                  <v>443.6197449186141</v>
                </pt>
                <pt idx="30">
                  <v>363.2051278374791</v>
                </pt>
                <pt idx="31">
                  <v>297.3672078361638</v>
                </pt>
                <pt idx="32">
                  <v>243.4636780123992</v>
                </pt>
                <pt idx="33">
                  <v>199.331200446227</v>
                </pt>
                <pt idx="34">
                  <v>163.1985838532775</v>
                </pt>
                <pt idx="35">
                  <v>133.615699459454</v>
                </pt>
                <pt idx="36">
                  <v>109.3952822414801</v>
                </pt>
                <pt idx="37">
                  <v>89.56528181274537</v>
                </pt>
                <pt idx="38">
                  <v>73.32985062819074</v>
                </pt>
                <pt idx="39">
                  <v>60.03740382791451</v>
                </pt>
                <pt idx="40">
                  <v>49.15446884887535</v>
                </pt>
                <pt idx="41">
                  <v>40.24427529778794</v>
                </pt>
                <pt idx="42">
                  <v>32.94922582163551</v>
                </pt>
                <pt idx="43">
                  <v>26.97654447028415</v>
                </pt>
                <pt idx="44">
                  <v>22.08652656959738</v>
                </pt>
                <pt idx="45">
                  <v>18.08291853120333</v>
                </pt>
                <pt idx="46">
                  <v>14.80504150689991</v>
                </pt>
                <pt idx="47">
                  <v>12.12134278229493</v>
                </pt>
                <pt idx="48">
                  <v>9.924116104464694</v>
                </pt>
                <pt idx="49">
                  <v>8.125179051841698</v>
                </pt>
                <pt idx="50">
                  <v>6.652333964007801</v>
                </pt>
                <pt idx="51">
                  <v>5.446470396078347</v>
                </pt>
                <pt idx="52">
                  <v>4.459192808998155</v>
                </pt>
                <pt idx="53">
                  <v>3.650878286630983</v>
                </pt>
                <pt idx="54">
                  <v>2.989086329009433</v>
                </pt>
                <pt idx="55">
                  <v>2.447256901164995</v>
                </pt>
                <pt idx="56">
                  <v>2.003644485666106</v>
                </pt>
                <pt idx="57">
                  <v>1.640445358649955</v>
                </pt>
                <pt idx="58">
                  <v>1.343083063870759</v>
                </pt>
                <pt idx="59">
                  <v>1.099623408329188</v>
                </pt>
                <pt idx="60">
                  <v>0.9002955012035342</v>
                </pt>
                <pt idx="61">
                  <v>0.7370996136930892</v>
                </pt>
                <pt idx="62">
                  <v>0.6034861218124318</v>
                </pt>
                <pt idx="63">
                  <v>0.4940926469836033</v>
                </pt>
                <pt idx="64">
                  <v>0.4045288449551785</v>
                </pt>
                <pt idx="65">
                  <v>0.3312002058719197</v>
                </pt>
                <pt idx="66">
                  <v>0.2711637939730996</v>
                </pt>
                <pt idx="67">
                  <v>0.2220101372470782</v>
                </pt>
                <pt idx="68">
                  <v>0.1817665268592465</v>
                </pt>
                <pt idx="69">
                  <v>0.1488178454198402</v>
                </pt>
                <pt idx="70">
                  <v>0.1218417466520286</v>
                </pt>
                <pt idx="71">
                  <v>0.09975558499275211</v>
                </pt>
                <pt idx="72">
                  <v>0.08167296522485033</v>
                </pt>
                <pt idx="73">
                  <v>0.06686816832465359</v>
                </pt>
                <pt idx="74">
                  <v>0.05474702580938891</v>
                </pt>
                <pt idx="75">
                  <v>0.04482307366970073</v>
                </pt>
                <pt idx="76">
                  <v>0.03669802886086397</v>
                </pt>
                <pt idx="77">
                  <v>0.03004580480573258</v>
                </pt>
                <pt idx="78">
                  <v>0.0245994243954315</v>
                </pt>
                <pt idx="79">
                  <v>0.02014030526055653</v>
                </pt>
                <pt idx="80">
                  <v>0</v>
                </pt>
                <pt idx="81">
                  <v>135.9519351915131</v>
                </pt>
                <pt idx="82">
                  <v>247.2599654732698</v>
                </pt>
                <pt idx="83">
                  <v>338.3912729294808</v>
                </pt>
                <pt idx="84">
                  <v>413.003276912084</v>
                </pt>
                <pt idx="85">
                  <v>474.0904191214182</v>
                </pt>
                <pt idx="86">
                  <v>524.1043410658482</v>
                </pt>
                <pt idx="87">
                  <v>565.0522770437949</v>
                </pt>
                <pt idx="88">
                  <v>598.5776115040087</v>
                </pt>
                <pt idx="89">
                  <v>626.0258338338101</v>
                </pt>
                <pt idx="90">
                  <v>648.4985375725405</v>
                </pt>
                <pt idx="91">
                  <v>666.8976312282496</v>
                </pt>
                <pt idx="92">
                  <v>681.9615350329404</v>
                </pt>
                <pt idx="93">
                  <v>694.2948163392497</v>
                </pt>
                <pt idx="94">
                  <v>704.3924530310866</v>
                </pt>
                <pt idx="95">
                  <v>712.6596987241021</v>
                </pt>
                <pt idx="96">
                  <v>719.4283470162253</v>
                </pt>
                <pt idx="97">
                  <v>724.9700475297554</v>
                </pt>
                <pt idx="98">
                  <v>729.5072081645307</v>
                </pt>
                <pt idx="99">
                  <v>733.2219211078759</v>
                </pt>
                <pt idx="100">
                  <v>736.2632708334494</v>
                </pt>
                <pt idx="101">
                  <v>738.7533173846417</v>
                </pt>
                <pt idx="102">
                  <v>740.7919950726987</v>
                </pt>
                <pt idx="103">
                  <v>742.4611231915248</v>
                </pt>
                <pt idx="104">
                  <v>743.827689713235</v>
                </pt>
                <pt idx="105">
                  <v>744.9465397506859</v>
                </pt>
                <pt idx="106">
                  <v>745.8625766844294</v>
                </pt>
                <pt idx="107">
                  <v>661.8028918309097</v>
                </pt>
                <pt idx="108">
                  <v>541.8383800179054</v>
                </pt>
                <pt idx="109">
                  <v>443.6197449186137</v>
                </pt>
                <pt idx="110">
                  <v>363.2051278374791</v>
                </pt>
                <pt idx="111">
                  <v>297.3672078361641</v>
                </pt>
                <pt idx="112">
                  <v>243.4636780123996</v>
                </pt>
                <pt idx="113">
                  <v>199.3312004462266</v>
                </pt>
                <pt idx="114">
                  <v>163.1985838532774</v>
                </pt>
                <pt idx="115">
                  <v>133.615699459454</v>
                </pt>
                <pt idx="116">
                  <v>109.3952822414802</v>
                </pt>
                <pt idx="117">
                  <v>89.56528181274552</v>
                </pt>
                <pt idx="118">
                  <v>73.32985062819061</v>
                </pt>
                <pt idx="119">
                  <v>60.03740382791446</v>
                </pt>
                <pt idx="120">
                  <v>49.15446884887535</v>
                </pt>
                <pt idx="121">
                  <v>40.24427529778794</v>
                </pt>
                <pt idx="122">
                  <v>32.94922582163557</v>
                </pt>
                <pt idx="123">
                  <v>26.9765444702841</v>
                </pt>
                <pt idx="124">
                  <v>22.08652656959738</v>
                </pt>
                <pt idx="125">
                  <v>18.08291853120333</v>
                </pt>
                <pt idx="126">
                  <v>14.80504150689991</v>
                </pt>
                <pt idx="127">
                  <v>12.12134278229495</v>
                </pt>
                <pt idx="128">
                  <v>9.924116104464677</v>
                </pt>
                <pt idx="129">
                  <v>8.125179051841698</v>
                </pt>
                <pt idx="130">
                  <v>6.652333964007801</v>
                </pt>
                <pt idx="131">
                  <v>5.446470396078347</v>
                </pt>
                <pt idx="132">
                  <v>4.459192808998163</v>
                </pt>
                <pt idx="133">
                  <v>3.650878286630976</v>
                </pt>
                <pt idx="134">
                  <v>2.989086329009433</v>
                </pt>
                <pt idx="135">
                  <v>2.447256901164995</v>
                </pt>
                <pt idx="136">
                  <v>2.003644485666106</v>
                </pt>
                <pt idx="137">
                  <v>1.640445358649958</v>
                </pt>
                <pt idx="138">
                  <v>1.343083063870756</v>
                </pt>
                <pt idx="139">
                  <v>1.099623408329188</v>
                </pt>
                <pt idx="140">
                  <v>0.9002955012035342</v>
                </pt>
                <pt idx="141">
                  <v>0.7370996136930892</v>
                </pt>
                <pt idx="142">
                  <v>0.6034861218124329</v>
                </pt>
                <pt idx="143">
                  <v>0.4940926469836024</v>
                </pt>
                <pt idx="144">
                  <v>0.4045288449551785</v>
                </pt>
                <pt idx="145">
                  <v>0.3312002058719197</v>
                </pt>
                <pt idx="146">
                  <v>0.2711637939730996</v>
                </pt>
                <pt idx="147">
                  <v>0.222010137247079</v>
                </pt>
                <pt idx="148">
                  <v>0.1817665268592465</v>
                </pt>
                <pt idx="149">
                  <v>0.1488178454198402</v>
                </pt>
                <pt idx="150">
                  <v>0.1218417466520286</v>
                </pt>
                <pt idx="151">
                  <v>0.09975558499275211</v>
                </pt>
                <pt idx="152">
                  <v>0.08167296522485062</v>
                </pt>
                <pt idx="153">
                  <v>0.06686816832465359</v>
                </pt>
                <pt idx="154">
                  <v>0.05474702580938891</v>
                </pt>
                <pt idx="155">
                  <v>0.04482307366970073</v>
                </pt>
                <pt idx="156">
                  <v>0.03669802886086397</v>
                </pt>
                <pt idx="157">
                  <v>0.03004580480573269</v>
                </pt>
                <pt idx="158">
                  <v>0.0245994243954315</v>
                </pt>
                <pt idx="159">
                  <v>0.02014030526055653</v>
                </pt>
                <pt idx="160">
                  <v>0</v>
                </pt>
                <pt idx="161">
                  <v>135.9519351915154</v>
                </pt>
                <pt idx="162">
                  <v>247.2599654732698</v>
                </pt>
                <pt idx="163">
                  <v>338.3912729294808</v>
                </pt>
                <pt idx="164">
                  <v>413.0032769120828</v>
                </pt>
                <pt idx="165">
                  <v>474.0904191214182</v>
                </pt>
                <pt idx="166">
                  <v>524.104341065849</v>
                </pt>
                <pt idx="167">
                  <v>565.0522770437949</v>
                </pt>
                <pt idx="168">
                  <v>598.5776115040087</v>
                </pt>
                <pt idx="169">
                  <v>626.0258338338098</v>
                </pt>
                <pt idx="170">
                  <v>648.4985375725405</v>
                </pt>
                <pt idx="171">
                  <v>666.8976312282499</v>
                </pt>
                <pt idx="172">
                  <v>681.9615350329404</v>
                </pt>
                <pt idx="173">
                  <v>694.2948163392497</v>
                </pt>
                <pt idx="174">
                  <v>704.3924530310863</v>
                </pt>
                <pt idx="175">
                  <v>712.6596987241021</v>
                </pt>
                <pt idx="176">
                  <v>719.4283470162255</v>
                </pt>
                <pt idx="177">
                  <v>724.9700475297554</v>
                </pt>
                <pt idx="178">
                  <v>729.5072081645307</v>
                </pt>
                <pt idx="179">
                  <v>733.2219211078758</v>
                </pt>
                <pt idx="180">
                  <v>736.2632708334494</v>
                </pt>
                <pt idx="181">
                  <v>738.7533173846417</v>
                </pt>
                <pt idx="182">
                  <v>740.7919950726987</v>
                </pt>
                <pt idx="183">
                  <v>742.4611231915248</v>
                </pt>
                <pt idx="184">
                  <v>743.827689713235</v>
                </pt>
                <pt idx="185">
                  <v>744.9465397506859</v>
                </pt>
                <pt idx="186">
                  <v>745.8625766844294</v>
                </pt>
                <pt idx="187">
                  <v>661.8028918309097</v>
                </pt>
                <pt idx="188">
                  <v>541.8383800179054</v>
                </pt>
                <pt idx="189">
                  <v>443.6197449186153</v>
                </pt>
                <pt idx="190">
                  <v>363.2051278374791</v>
                </pt>
                <pt idx="191">
                  <v>297.3672078361631</v>
                </pt>
                <pt idx="192">
                  <v>243.4636780123996</v>
                </pt>
                <pt idx="193">
                  <v>199.3312004462266</v>
                </pt>
                <pt idx="194">
                  <v>163.198583853278</v>
                </pt>
                <pt idx="195">
                  <v>133.615699459454</v>
                </pt>
                <pt idx="196">
                  <v>109.3952822414798</v>
                </pt>
                <pt idx="197">
                  <v>89.56528181274552</v>
                </pt>
                <pt idx="198">
                  <v>73.32985062819061</v>
                </pt>
                <pt idx="199">
                  <v>60.03740382791468</v>
                </pt>
                <pt idx="200">
                  <v>49.15446884887535</v>
                </pt>
                <pt idx="201">
                  <v>40.24427529778779</v>
                </pt>
                <pt idx="202">
                  <v>32.94922582163557</v>
                </pt>
                <pt idx="203">
                  <v>26.9765444702841</v>
                </pt>
                <pt idx="204">
                  <v>22.08652656959746</v>
                </pt>
                <pt idx="205">
                  <v>18.08291853120333</v>
                </pt>
                <pt idx="206">
                  <v>14.80504150689986</v>
                </pt>
                <pt idx="207">
                  <v>12.12134278229495</v>
                </pt>
                <pt idx="208">
                  <v>9.924116104464677</v>
                </pt>
                <pt idx="209">
                  <v>8.125179051841727</v>
                </pt>
                <pt idx="210">
                  <v>6.652333964007801</v>
                </pt>
                <pt idx="211">
                  <v>5.446470396078328</v>
                </pt>
                <pt idx="212">
                  <v>4.459192808998163</v>
                </pt>
                <pt idx="213">
                  <v>3.650878286630976</v>
                </pt>
                <pt idx="214">
                  <v>2.989086329009444</v>
                </pt>
                <pt idx="215">
                  <v>2.447256901164995</v>
                </pt>
                <pt idx="216">
                  <v>2.003644485666099</v>
                </pt>
                <pt idx="217">
                  <v>1.640445358649958</v>
                </pt>
                <pt idx="218">
                  <v>1.343083063870756</v>
                </pt>
                <pt idx="219">
                  <v>1.099623408329192</v>
                </pt>
                <pt idx="220">
                  <v>0.9002955012035342</v>
                </pt>
                <pt idx="221">
                  <v>0.7370996136930866</v>
                </pt>
                <pt idx="222">
                  <v>0.6034861218124329</v>
                </pt>
                <pt idx="223">
                  <v>0.4940926469836024</v>
                </pt>
                <pt idx="224">
                  <v>0.40452884495518</v>
                </pt>
                <pt idx="225">
                  <v>0.3312002058719197</v>
                </pt>
                <pt idx="226">
                  <v>0.2711637939730988</v>
                </pt>
                <pt idx="227">
                  <v>0.222010137247079</v>
                </pt>
                <pt idx="228">
                  <v>0.1817665268592465</v>
                </pt>
                <pt idx="229">
                  <v>0.1488178454198408</v>
                </pt>
                <pt idx="230">
                  <v>0.1218417466520286</v>
                </pt>
                <pt idx="231">
                  <v>0.09975558499275178</v>
                </pt>
                <pt idx="232">
                  <v>0.08167296522485062</v>
                </pt>
                <pt idx="233">
                  <v>0.06686816832465359</v>
                </pt>
                <pt idx="234">
                  <v>0.05474702580938912</v>
                </pt>
                <pt idx="235">
                  <v>0.04482307366970073</v>
                </pt>
                <pt idx="236">
                  <v>0.03669802886086383</v>
                </pt>
                <pt idx="237">
                  <v>0.03004580480573269</v>
                </pt>
                <pt idx="238">
                  <v>0.0245994243954315</v>
                </pt>
                <pt idx="239">
                  <v>0.0201403052605566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Muscle Pressure (Pmus)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PCV!$F$27</f>
              <strCache>
                <ptCount val="1"/>
                <pt idx="0">
                  <v>Pmus (cmH2O)</v>
                </pt>
              </strCache>
            </strRef>
          </tx>
          <spPr>
            <a:ln xmlns:a="http://schemas.openxmlformats.org/drawingml/2006/main" w="22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PCV!$F$28:$F$267</f>
              <numCache>
                <formatCode>0.000</formatCode>
                <ptCount val="240"/>
                <pt idx="0">
                  <v>0</v>
                </pt>
                <pt idx="1">
                  <v>-1.251475720321847</v>
                </pt>
                <pt idx="2">
                  <v>-2.472135954999579</v>
                </pt>
                <pt idx="3">
                  <v>-3.631923997916374</v>
                </pt>
                <pt idx="4">
                  <v>-4.702282018339785</v>
                </pt>
                <pt idx="5">
                  <v>-5.65685424949238</v>
                </pt>
                <pt idx="6">
                  <v>-6.47213595499958</v>
                </pt>
                <pt idx="7">
                  <v>-7.128052193506942</v>
                </pt>
                <pt idx="8">
                  <v>-7.608452130361228</v>
                </pt>
                <pt idx="9">
                  <v>-7.901506724761102</v>
                </pt>
                <pt idx="10">
                  <v>-8</v>
                </pt>
                <pt idx="11">
                  <v>-7.901506724761101</v>
                </pt>
                <pt idx="12">
                  <v>-7.608452130361229</v>
                </pt>
                <pt idx="13">
                  <v>-7.128052193506943</v>
                </pt>
                <pt idx="14">
                  <v>-6.47213595499958</v>
                </pt>
                <pt idx="15">
                  <v>-5.656854249492381</v>
                </pt>
                <pt idx="16">
                  <v>-4.702282018339786</v>
                </pt>
                <pt idx="17">
                  <v>-3.631923997916375</v>
                </pt>
                <pt idx="18">
                  <v>-2.47213595499958</v>
                </pt>
                <pt idx="19">
                  <v>-1.251475720321848</v>
                </pt>
                <pt idx="20">
                  <v>0</v>
                </pt>
                <pt idx="21">
                  <v>0</v>
                </pt>
                <pt idx="22">
                  <v>0</v>
                </pt>
                <pt idx="23">
                  <v>0</v>
                </pt>
                <pt idx="24">
                  <v>0</v>
                </pt>
                <pt idx="25">
                  <v>0</v>
                </pt>
                <pt idx="26">
                  <v>0</v>
                </pt>
                <pt idx="27">
                  <v>0</v>
                </pt>
                <pt idx="28">
                  <v>0</v>
                </pt>
                <pt idx="29">
                  <v>0</v>
                </pt>
                <pt idx="30">
                  <v>0</v>
                </pt>
                <pt idx="31">
                  <v>0</v>
                </pt>
                <pt idx="32">
                  <v>0</v>
                </pt>
                <pt idx="33">
                  <v>0</v>
                </pt>
                <pt idx="34">
                  <v>0</v>
                </pt>
                <pt idx="35">
                  <v>0</v>
                </pt>
                <pt idx="36">
                  <v>0</v>
                </pt>
                <pt idx="37">
                  <v>0</v>
                </pt>
                <pt idx="38">
                  <v>0</v>
                </pt>
                <pt idx="39">
                  <v>0</v>
                </pt>
                <pt idx="40">
                  <v>0</v>
                </pt>
                <pt idx="41">
                  <v>0</v>
                </pt>
                <pt idx="42">
                  <v>0</v>
                </pt>
                <pt idx="43">
                  <v>0</v>
                </pt>
                <pt idx="44">
                  <v>0</v>
                </pt>
                <pt idx="45">
                  <v>0</v>
                </pt>
                <pt idx="46">
                  <v>0</v>
                </pt>
                <pt idx="47">
                  <v>0</v>
                </pt>
                <pt idx="48">
                  <v>0</v>
                </pt>
                <pt idx="49">
                  <v>0</v>
                </pt>
                <pt idx="50">
                  <v>0</v>
                </pt>
                <pt idx="51">
                  <v>0</v>
                </pt>
                <pt idx="52">
                  <v>0</v>
                </pt>
                <pt idx="53">
                  <v>0</v>
                </pt>
                <pt idx="54">
                  <v>0</v>
                </pt>
                <pt idx="55">
                  <v>0</v>
                </pt>
                <pt idx="56">
                  <v>0</v>
                </pt>
                <pt idx="57">
                  <v>0</v>
                </pt>
                <pt idx="58">
                  <v>0</v>
                </pt>
                <pt idx="59">
                  <v>0</v>
                </pt>
                <pt idx="60">
                  <v>0</v>
                </pt>
                <pt idx="61">
                  <v>0</v>
                </pt>
                <pt idx="62">
                  <v>0</v>
                </pt>
                <pt idx="63">
                  <v>0</v>
                </pt>
                <pt idx="64">
                  <v>0</v>
                </pt>
                <pt idx="65">
                  <v>0</v>
                </pt>
                <pt idx="66">
                  <v>0</v>
                </pt>
                <pt idx="67">
                  <v>0</v>
                </pt>
                <pt idx="68">
                  <v>0</v>
                </pt>
                <pt idx="69">
                  <v>0</v>
                </pt>
                <pt idx="70">
                  <v>0</v>
                </pt>
                <pt idx="71">
                  <v>0</v>
                </pt>
                <pt idx="72">
                  <v>0</v>
                </pt>
                <pt idx="73">
                  <v>0</v>
                </pt>
                <pt idx="74">
                  <v>0</v>
                </pt>
                <pt idx="75">
                  <v>0</v>
                </pt>
                <pt idx="76">
                  <v>0</v>
                </pt>
                <pt idx="77">
                  <v>0</v>
                </pt>
                <pt idx="78">
                  <v>0</v>
                </pt>
                <pt idx="79">
                  <v>0</v>
                </pt>
                <pt idx="80">
                  <v>0</v>
                </pt>
                <pt idx="81">
                  <v>-1.251475720321843</v>
                </pt>
                <pt idx="82">
                  <v>-2.472135954999571</v>
                </pt>
                <pt idx="83">
                  <v>-3.631923997916382</v>
                </pt>
                <pt idx="84">
                  <v>-4.702282018339789</v>
                </pt>
                <pt idx="85">
                  <v>-5.65685424949238</v>
                </pt>
                <pt idx="86">
                  <v>-6.472135954999577</v>
                </pt>
                <pt idx="87">
                  <v>-7.128052193506939</v>
                </pt>
                <pt idx="88">
                  <v>-7.608452130361231</v>
                </pt>
                <pt idx="89">
                  <v>-7.901506724761102</v>
                </pt>
                <pt idx="90">
                  <v>-8</v>
                </pt>
                <pt idx="91">
                  <v>-7.901506724761103</v>
                </pt>
                <pt idx="92">
                  <v>-7.608452130361232</v>
                </pt>
                <pt idx="93">
                  <v>-7.128052193506939</v>
                </pt>
                <pt idx="94">
                  <v>-6.472135954999578</v>
                </pt>
                <pt idx="95">
                  <v>-5.656854249492381</v>
                </pt>
                <pt idx="96">
                  <v>-4.702282018339789</v>
                </pt>
                <pt idx="97">
                  <v>-3.631923997916385</v>
                </pt>
                <pt idx="98">
                  <v>-2.47213595499957</v>
                </pt>
                <pt idx="99">
                  <v>-1.251475720321844</v>
                </pt>
                <pt idx="100">
                  <v>0</v>
                </pt>
                <pt idx="101">
                  <v>0</v>
                </pt>
                <pt idx="102">
                  <v>0</v>
                </pt>
                <pt idx="103">
                  <v>0</v>
                </pt>
                <pt idx="104">
                  <v>0</v>
                </pt>
                <pt idx="105">
                  <v>0</v>
                </pt>
                <pt idx="106">
                  <v>0</v>
                </pt>
                <pt idx="107">
                  <v>0</v>
                </pt>
                <pt idx="108">
                  <v>0</v>
                </pt>
                <pt idx="109">
                  <v>0</v>
                </pt>
                <pt idx="110">
                  <v>0</v>
                </pt>
                <pt idx="111">
                  <v>0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-1.251475720321864</v>
                </pt>
                <pt idx="162">
                  <v>-2.472135954999571</v>
                </pt>
                <pt idx="163">
                  <v>-3.631923997916382</v>
                </pt>
                <pt idx="164">
                  <v>-4.702282018339771</v>
                </pt>
                <pt idx="165">
                  <v>-5.65685424949238</v>
                </pt>
                <pt idx="166">
                  <v>-6.472135954999589</v>
                </pt>
                <pt idx="167">
                  <v>-7.128052193506939</v>
                </pt>
                <pt idx="168">
                  <v>-7.608452130361231</v>
                </pt>
                <pt idx="169">
                  <v>-7.901506724761099</v>
                </pt>
                <pt idx="170">
                  <v>-8</v>
                </pt>
                <pt idx="171">
                  <v>-7.901506724761099</v>
                </pt>
                <pt idx="172">
                  <v>-7.608452130361232</v>
                </pt>
                <pt idx="173">
                  <v>-7.128052193506939</v>
                </pt>
                <pt idx="174">
                  <v>-6.47213595499959</v>
                </pt>
                <pt idx="175">
                  <v>-5.656854249492381</v>
                </pt>
                <pt idx="176">
                  <v>-4.702282018339771</v>
                </pt>
                <pt idx="177">
                  <v>-3.631923997916385</v>
                </pt>
                <pt idx="178">
                  <v>-2.47213595499957</v>
                </pt>
                <pt idx="179">
                  <v>-1.251475720321865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Esophageal Pressure (Pes)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PCV!$G$27</f>
              <strCache>
                <ptCount val="1"/>
                <pt idx="0">
                  <v>Pes (cmH2O)</v>
                </pt>
              </strCache>
            </strRef>
          </tx>
          <spPr>
            <a:ln xmlns:a="http://schemas.openxmlformats.org/drawingml/2006/main" w="22000">
              <a:solidFill>
                <a:srgbClr val="843C0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PCV!$G$28:$G$267</f>
              <numCache>
                <formatCode>0.000</formatCode>
                <ptCount val="240"/>
                <pt idx="0">
                  <v>4</v>
                </pt>
                <pt idx="1">
                  <v>3.428283955635721</v>
                </pt>
                <pt idx="2">
                  <v>2.764163872366773</v>
                </pt>
                <pt idx="3">
                  <v>2.060032366731027</v>
                </pt>
                <pt idx="4">
                  <v>1.362734366220634</v>
                </pt>
                <pt idx="5">
                  <v>0.7135978461147108</v>
                </pt>
                <pt idx="6">
                  <v>0.1483857503296626</v>
                </pt>
                <pt idx="7">
                  <v>-0.3027908082879662</v>
                </pt>
                <pt idx="8">
                  <v>-0.6155640728411855</v>
                </pt>
                <pt idx="9">
                  <v>-0.7713775555920517</v>
                </pt>
                <pt idx="10">
                  <v>-0.7575073121372977</v>
                </pt>
                <pt idx="11">
                  <v>-0.5670185686198534</v>
                </pt>
                <pt idx="12">
                  <v>-0.1986444551965256</v>
                </pt>
                <pt idx="13">
                  <v>0.3434218881893045</v>
                </pt>
                <pt idx="14">
                  <v>1.049826310155852</v>
                </pt>
                <pt idx="15">
                  <v>1.90644424412813</v>
                </pt>
                <pt idx="16">
                  <v>2.894859716741341</v>
                </pt>
                <pt idx="17">
                  <v>3.992926239732403</v>
                </pt>
                <pt idx="18">
                  <v>5.175400085823073</v>
                </pt>
                <pt idx="19">
                  <v>6.414633885217532</v>
                </pt>
                <pt idx="20">
                  <v>7.681316354167246</v>
                </pt>
                <pt idx="21">
                  <v>7.693766586923209</v>
                </pt>
                <pt idx="22">
                  <v>7.703959975363493</v>
                </pt>
                <pt idx="23">
                  <v>7.712305615957623</v>
                </pt>
                <pt idx="24">
                  <v>7.719138448566175</v>
                </pt>
                <pt idx="25">
                  <v>7.72473269875343</v>
                </pt>
                <pt idx="26">
                  <v>7.729312883422147</v>
                </pt>
                <pt idx="27">
                  <v>7.309014459154543</v>
                </pt>
                <pt idx="28">
                  <v>6.709191900089532</v>
                </pt>
                <pt idx="29">
                  <v>6.21809872459307</v>
                </pt>
                <pt idx="30">
                  <v>5.816025639187395</v>
                </pt>
                <pt idx="31">
                  <v>5.486836039180819</v>
                </pt>
                <pt idx="32">
                  <v>5.217318390061996</v>
                </pt>
                <pt idx="33">
                  <v>4.996656002231135</v>
                </pt>
                <pt idx="34">
                  <v>4.815992919266388</v>
                </pt>
                <pt idx="35">
                  <v>4.66807849729727</v>
                </pt>
                <pt idx="36">
                  <v>4.5469764112074</v>
                </pt>
                <pt idx="37">
                  <v>4.447826409063727</v>
                </pt>
                <pt idx="38">
                  <v>4.366649253140953</v>
                </pt>
                <pt idx="39">
                  <v>4.300187019139573</v>
                </pt>
                <pt idx="40">
                  <v>4.245772344244377</v>
                </pt>
                <pt idx="41">
                  <v>4.20122137648894</v>
                </pt>
                <pt idx="42">
                  <v>4.164746129108178</v>
                </pt>
                <pt idx="43">
                  <v>4.134882722351421</v>
                </pt>
                <pt idx="44">
                  <v>4.110432632847987</v>
                </pt>
                <pt idx="45">
                  <v>4.090414592656017</v>
                </pt>
                <pt idx="46">
                  <v>4.0740252075345</v>
                </pt>
                <pt idx="47">
                  <v>4.060606713911475</v>
                </pt>
                <pt idx="48">
                  <v>4.049620580522324</v>
                </pt>
                <pt idx="49">
                  <v>4.040625895259208</v>
                </pt>
                <pt idx="50">
                  <v>4.033261669820039</v>
                </pt>
                <pt idx="51">
                  <v>4.027232351980392</v>
                </pt>
                <pt idx="52">
                  <v>4.022295964044991</v>
                </pt>
                <pt idx="53">
                  <v>4.018254391433155</v>
                </pt>
                <pt idx="54">
                  <v>4.014945431645047</v>
                </pt>
                <pt idx="55">
                  <v>4.012236284505825</v>
                </pt>
                <pt idx="56">
                  <v>4.010018222428331</v>
                </pt>
                <pt idx="57">
                  <v>4.00820222679325</v>
                </pt>
                <pt idx="58">
                  <v>4.006715415319354</v>
                </pt>
                <pt idx="59">
                  <v>4.005498117041646</v>
                </pt>
                <pt idx="60">
                  <v>4.004501477506017</v>
                </pt>
                <pt idx="61">
                  <v>4.003685498068466</v>
                </pt>
                <pt idx="62">
                  <v>4.003017430609062</v>
                </pt>
                <pt idx="63">
                  <v>4.002470463234918</v>
                </pt>
                <pt idx="64">
                  <v>4.002022644224776</v>
                </pt>
                <pt idx="65">
                  <v>4.001656001029359</v>
                </pt>
                <pt idx="66">
                  <v>4.001355818969865</v>
                </pt>
                <pt idx="67">
                  <v>4.001110050686235</v>
                </pt>
                <pt idx="68">
                  <v>4.000908832634297</v>
                </pt>
                <pt idx="69">
                  <v>4.0007440892271</v>
                </pt>
                <pt idx="70">
                  <v>4.00060920873326</v>
                </pt>
                <pt idx="71">
                  <v>4.000498777924964</v>
                </pt>
                <pt idx="72">
                  <v>4.000408364826124</v>
                </pt>
                <pt idx="73">
                  <v>4.000334340841623</v>
                </pt>
                <pt idx="74">
                  <v>4.000273735129047</v>
                </pt>
                <pt idx="75">
                  <v>4.000224115368349</v>
                </pt>
                <pt idx="76">
                  <v>4.000183490144305</v>
                </pt>
                <pt idx="77">
                  <v>4.000150229024029</v>
                </pt>
                <pt idx="78">
                  <v>4.000122997121977</v>
                </pt>
                <pt idx="79">
                  <v>4.000100701526303</v>
                </pt>
                <pt idx="80">
                  <v>4</v>
                </pt>
                <pt idx="81">
                  <v>3.428283955635723</v>
                </pt>
                <pt idx="82">
                  <v>2.764163872366778</v>
                </pt>
                <pt idx="83">
                  <v>2.060032366731022</v>
                </pt>
                <pt idx="84">
                  <v>1.362734366220631</v>
                </pt>
                <pt idx="85">
                  <v>0.7135978461147108</v>
                </pt>
                <pt idx="86">
                  <v>0.1483857503296635</v>
                </pt>
                <pt idx="87">
                  <v>-0.3027908082879645</v>
                </pt>
                <pt idx="88">
                  <v>-0.6155640728411882</v>
                </pt>
                <pt idx="89">
                  <v>-0.7713775555920517</v>
                </pt>
                <pt idx="90">
                  <v>-0.7575073121372977</v>
                </pt>
                <pt idx="91">
                  <v>-0.5670185686198552</v>
                </pt>
                <pt idx="92">
                  <v>-0.1986444551965301</v>
                </pt>
                <pt idx="93">
                  <v>0.3434218881893099</v>
                </pt>
                <pt idx="94">
                  <v>1.049826310155854</v>
                </pt>
                <pt idx="95">
                  <v>1.90644424412813</v>
                </pt>
                <pt idx="96">
                  <v>2.894859716741338</v>
                </pt>
                <pt idx="97">
                  <v>3.992926239732393</v>
                </pt>
                <pt idx="98">
                  <v>5.175400085823082</v>
                </pt>
                <pt idx="99">
                  <v>6.414633885217535</v>
                </pt>
                <pt idx="100">
                  <v>7.681316354167246</v>
                </pt>
                <pt idx="101">
                  <v>7.693766586923209</v>
                </pt>
                <pt idx="102">
                  <v>7.703959975363493</v>
                </pt>
                <pt idx="103">
                  <v>7.712305615957623</v>
                </pt>
                <pt idx="104">
                  <v>7.719138448566175</v>
                </pt>
                <pt idx="105">
                  <v>7.72473269875343</v>
                </pt>
                <pt idx="106">
                  <v>7.729312883422147</v>
                </pt>
                <pt idx="107">
                  <v>7.309014459154549</v>
                </pt>
                <pt idx="108">
                  <v>6.709191900089527</v>
                </pt>
                <pt idx="109">
                  <v>6.218098724593068</v>
                </pt>
                <pt idx="110">
                  <v>5.816025639187395</v>
                </pt>
                <pt idx="111">
                  <v>5.486836039180821</v>
                </pt>
                <pt idx="112">
                  <v>5.217318390061997</v>
                </pt>
                <pt idx="113">
                  <v>4.996656002231133</v>
                </pt>
                <pt idx="114">
                  <v>4.815992919266387</v>
                </pt>
                <pt idx="115">
                  <v>4.66807849729727</v>
                </pt>
                <pt idx="116">
                  <v>4.546976411207401</v>
                </pt>
                <pt idx="117">
                  <v>4.447826409063728</v>
                </pt>
                <pt idx="118">
                  <v>4.366649253140953</v>
                </pt>
                <pt idx="119">
                  <v>4.300187019139572</v>
                </pt>
                <pt idx="120">
                  <v>4.245772344244377</v>
                </pt>
                <pt idx="121">
                  <v>4.20122137648894</v>
                </pt>
                <pt idx="122">
                  <v>4.164746129108178</v>
                </pt>
                <pt idx="123">
                  <v>4.134882722351421</v>
                </pt>
                <pt idx="124">
                  <v>4.110432632847987</v>
                </pt>
                <pt idx="125">
                  <v>4.090414592656017</v>
                </pt>
                <pt idx="126">
                  <v>4.0740252075345</v>
                </pt>
                <pt idx="127">
                  <v>4.060606713911475</v>
                </pt>
                <pt idx="128">
                  <v>4.049620580522324</v>
                </pt>
                <pt idx="129">
                  <v>4.040625895259208</v>
                </pt>
                <pt idx="130">
                  <v>4.033261669820039</v>
                </pt>
                <pt idx="131">
                  <v>4.027232351980392</v>
                </pt>
                <pt idx="132">
                  <v>4.022295964044991</v>
                </pt>
                <pt idx="133">
                  <v>4.018254391433155</v>
                </pt>
                <pt idx="134">
                  <v>4.014945431645047</v>
                </pt>
                <pt idx="135">
                  <v>4.012236284505825</v>
                </pt>
                <pt idx="136">
                  <v>4.010018222428331</v>
                </pt>
                <pt idx="137">
                  <v>4.00820222679325</v>
                </pt>
                <pt idx="138">
                  <v>4.006715415319354</v>
                </pt>
                <pt idx="139">
                  <v>4.005498117041646</v>
                </pt>
                <pt idx="140">
                  <v>4.004501477506017</v>
                </pt>
                <pt idx="141">
                  <v>4.003685498068466</v>
                </pt>
                <pt idx="142">
                  <v>4.003017430609062</v>
                </pt>
                <pt idx="143">
                  <v>4.002470463234918</v>
                </pt>
                <pt idx="144">
                  <v>4.002022644224776</v>
                </pt>
                <pt idx="145">
                  <v>4.001656001029359</v>
                </pt>
                <pt idx="146">
                  <v>4.001355818969865</v>
                </pt>
                <pt idx="147">
                  <v>4.001110050686235</v>
                </pt>
                <pt idx="148">
                  <v>4.000908832634297</v>
                </pt>
                <pt idx="149">
                  <v>4.0007440892271</v>
                </pt>
                <pt idx="150">
                  <v>4.00060920873326</v>
                </pt>
                <pt idx="151">
                  <v>4.000498777924964</v>
                </pt>
                <pt idx="152">
                  <v>4.000408364826124</v>
                </pt>
                <pt idx="153">
                  <v>4.000334340841623</v>
                </pt>
                <pt idx="154">
                  <v>4.000273735129047</v>
                </pt>
                <pt idx="155">
                  <v>4.000224115368349</v>
                </pt>
                <pt idx="156">
                  <v>4.000183490144305</v>
                </pt>
                <pt idx="157">
                  <v>4.000150229024029</v>
                </pt>
                <pt idx="158">
                  <v>4.000122997121977</v>
                </pt>
                <pt idx="159">
                  <v>4.000100701526303</v>
                </pt>
                <pt idx="160">
                  <v>4</v>
                </pt>
                <pt idx="161">
                  <v>3.428283955635712</v>
                </pt>
                <pt idx="162">
                  <v>2.764163872366778</v>
                </pt>
                <pt idx="163">
                  <v>2.060032366731022</v>
                </pt>
                <pt idx="164">
                  <v>1.362734366220643</v>
                </pt>
                <pt idx="165">
                  <v>0.7135978461147108</v>
                </pt>
                <pt idx="166">
                  <v>0.1483857503296555</v>
                </pt>
                <pt idx="167">
                  <v>-0.3027908082879645</v>
                </pt>
                <pt idx="168">
                  <v>-0.6155640728411882</v>
                </pt>
                <pt idx="169">
                  <v>-0.7713775555920499</v>
                </pt>
                <pt idx="170">
                  <v>-0.7575073121372977</v>
                </pt>
                <pt idx="171">
                  <v>-0.5670185686198499</v>
                </pt>
                <pt idx="172">
                  <v>-0.1986444551965301</v>
                </pt>
                <pt idx="173">
                  <v>0.3434218881893099</v>
                </pt>
                <pt idx="174">
                  <v>1.049826310155842</v>
                </pt>
                <pt idx="175">
                  <v>1.90644424412813</v>
                </pt>
                <pt idx="176">
                  <v>2.894859716741356</v>
                </pt>
                <pt idx="177">
                  <v>3.992926239732393</v>
                </pt>
                <pt idx="178">
                  <v>5.175400085823082</v>
                </pt>
                <pt idx="179">
                  <v>6.414633885217514</v>
                </pt>
                <pt idx="180">
                  <v>7.681316354167246</v>
                </pt>
                <pt idx="181">
                  <v>7.693766586923209</v>
                </pt>
                <pt idx="182">
                  <v>7.703959975363493</v>
                </pt>
                <pt idx="183">
                  <v>7.712305615957623</v>
                </pt>
                <pt idx="184">
                  <v>7.719138448566175</v>
                </pt>
                <pt idx="185">
                  <v>7.72473269875343</v>
                </pt>
                <pt idx="186">
                  <v>7.729312883422147</v>
                </pt>
                <pt idx="187">
                  <v>7.309014459154549</v>
                </pt>
                <pt idx="188">
                  <v>6.709191900089527</v>
                </pt>
                <pt idx="189">
                  <v>6.218098724593077</v>
                </pt>
                <pt idx="190">
                  <v>5.816025639187395</v>
                </pt>
                <pt idx="191">
                  <v>5.486836039180815</v>
                </pt>
                <pt idx="192">
                  <v>5.217318390061997</v>
                </pt>
                <pt idx="193">
                  <v>4.996656002231133</v>
                </pt>
                <pt idx="194">
                  <v>4.81599291926639</v>
                </pt>
                <pt idx="195">
                  <v>4.66807849729727</v>
                </pt>
                <pt idx="196">
                  <v>4.546976411207399</v>
                </pt>
                <pt idx="197">
                  <v>4.447826409063728</v>
                </pt>
                <pt idx="198">
                  <v>4.366649253140953</v>
                </pt>
                <pt idx="199">
                  <v>4.300187019139574</v>
                </pt>
                <pt idx="200">
                  <v>4.245772344244377</v>
                </pt>
                <pt idx="201">
                  <v>4.201221376488939</v>
                </pt>
                <pt idx="202">
                  <v>4.164746129108178</v>
                </pt>
                <pt idx="203">
                  <v>4.134882722351421</v>
                </pt>
                <pt idx="204">
                  <v>4.110432632847988</v>
                </pt>
                <pt idx="205">
                  <v>4.090414592656017</v>
                </pt>
                <pt idx="206">
                  <v>4.0740252075345</v>
                </pt>
                <pt idx="207">
                  <v>4.060606713911475</v>
                </pt>
                <pt idx="208">
                  <v>4.049620580522324</v>
                </pt>
                <pt idx="209">
                  <v>4.040625895259208</v>
                </pt>
                <pt idx="210">
                  <v>4.033261669820039</v>
                </pt>
                <pt idx="211">
                  <v>4.027232351980391</v>
                </pt>
                <pt idx="212">
                  <v>4.022295964044991</v>
                </pt>
                <pt idx="213">
                  <v>4.018254391433155</v>
                </pt>
                <pt idx="214">
                  <v>4.014945431645047</v>
                </pt>
                <pt idx="215">
                  <v>4.012236284505825</v>
                </pt>
                <pt idx="216">
                  <v>4.010018222428331</v>
                </pt>
                <pt idx="217">
                  <v>4.00820222679325</v>
                </pt>
                <pt idx="218">
                  <v>4.006715415319354</v>
                </pt>
                <pt idx="219">
                  <v>4.005498117041646</v>
                </pt>
                <pt idx="220">
                  <v>4.004501477506017</v>
                </pt>
                <pt idx="221">
                  <v>4.003685498068466</v>
                </pt>
                <pt idx="222">
                  <v>4.003017430609062</v>
                </pt>
                <pt idx="223">
                  <v>4.002470463234918</v>
                </pt>
                <pt idx="224">
                  <v>4.002022644224776</v>
                </pt>
                <pt idx="225">
                  <v>4.001656001029359</v>
                </pt>
                <pt idx="226">
                  <v>4.001355818969865</v>
                </pt>
                <pt idx="227">
                  <v>4.001110050686235</v>
                </pt>
                <pt idx="228">
                  <v>4.000908832634297</v>
                </pt>
                <pt idx="229">
                  <v>4.0007440892271</v>
                </pt>
                <pt idx="230">
                  <v>4.00060920873326</v>
                </pt>
                <pt idx="231">
                  <v>4.000498777924964</v>
                </pt>
                <pt idx="232">
                  <v>4.000408364826124</v>
                </pt>
                <pt idx="233">
                  <v>4.000334340841623</v>
                </pt>
                <pt idx="234">
                  <v>4.000273735129047</v>
                </pt>
                <pt idx="235">
                  <v>4.000224115368349</v>
                </pt>
                <pt idx="236">
                  <v>4.000183490144305</v>
                </pt>
                <pt idx="237">
                  <v>4.000150229024029</v>
                </pt>
                <pt idx="238">
                  <v>4.000122997121977</v>
                </pt>
                <pt idx="239">
                  <v>4.000100701526303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Pressure (PL)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PCV!$H$27</f>
              <strCache>
                <ptCount val="1"/>
                <pt idx="0">
                  <v>PL (cmH2O)</v>
                </pt>
              </strCache>
            </strRef>
          </tx>
          <spPr>
            <a:ln xmlns:a="http://schemas.openxmlformats.org/drawingml/2006/main" w="22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PCV!$H$28:$H$267</f>
              <numCache>
                <formatCode>0.000</formatCode>
                <ptCount val="240"/>
                <pt idx="0">
                  <v>16</v>
                </pt>
                <pt idx="1">
                  <v>16.57171604436428</v>
                </pt>
                <pt idx="2">
                  <v>17.23583612763323</v>
                </pt>
                <pt idx="3">
                  <v>17.93996763326897</v>
                </pt>
                <pt idx="4">
                  <v>18.63726563377936</v>
                </pt>
                <pt idx="5">
                  <v>19.28640215388529</v>
                </pt>
                <pt idx="6">
                  <v>19.85161424967034</v>
                </pt>
                <pt idx="7">
                  <v>20.30279080828797</v>
                </pt>
                <pt idx="8">
                  <v>20.61556407284118</v>
                </pt>
                <pt idx="9">
                  <v>20.77137755559205</v>
                </pt>
                <pt idx="10">
                  <v>20.7575073121373</v>
                </pt>
                <pt idx="11">
                  <v>20.56701856861985</v>
                </pt>
                <pt idx="12">
                  <v>20.19864445519653</v>
                </pt>
                <pt idx="13">
                  <v>19.6565781118107</v>
                </pt>
                <pt idx="14">
                  <v>18.95017368984415</v>
                </pt>
                <pt idx="15">
                  <v>18.09355575587187</v>
                </pt>
                <pt idx="16">
                  <v>17.10514028325866</v>
                </pt>
                <pt idx="17">
                  <v>16.0070737602676</v>
                </pt>
                <pt idx="18">
                  <v>14.82459991417693</v>
                </pt>
                <pt idx="19">
                  <v>13.58536611478247</v>
                </pt>
                <pt idx="20">
                  <v>12.31868364583275</v>
                </pt>
                <pt idx="21">
                  <v>12.30623341307679</v>
                </pt>
                <pt idx="22">
                  <v>12.29604002463651</v>
                </pt>
                <pt idx="23">
                  <v>12.28769438404238</v>
                </pt>
                <pt idx="24">
                  <v>12.28086155143382</v>
                </pt>
                <pt idx="25">
                  <v>12.27526730124657</v>
                </pt>
                <pt idx="26">
                  <v>12.27068711657785</v>
                </pt>
                <pt idx="27">
                  <v>-2.309014459154543</v>
                </pt>
                <pt idx="28">
                  <v>-1.709191900089532</v>
                </pt>
                <pt idx="29">
                  <v>-1.21809872459307</v>
                </pt>
                <pt idx="30">
                  <v>-0.8160256391873952</v>
                </pt>
                <pt idx="31">
                  <v>-0.4868360391808189</v>
                </pt>
                <pt idx="32">
                  <v>-0.2173183900619957</v>
                </pt>
                <pt idx="33">
                  <v>0.003343997768864959</v>
                </pt>
                <pt idx="34">
                  <v>0.184007080733612</v>
                </pt>
                <pt idx="35">
                  <v>0.3319215027027296</v>
                </pt>
                <pt idx="36">
                  <v>0.4530235887925995</v>
                </pt>
                <pt idx="37">
                  <v>0.5521735909362731</v>
                </pt>
                <pt idx="38">
                  <v>0.6333507468590467</v>
                </pt>
                <pt idx="39">
                  <v>0.6998129808604272</v>
                </pt>
                <pt idx="40">
                  <v>0.7542276557556233</v>
                </pt>
                <pt idx="41">
                  <v>0.7987786235110601</v>
                </pt>
                <pt idx="42">
                  <v>0.8352538708918225</v>
                </pt>
                <pt idx="43">
                  <v>0.8651172776485794</v>
                </pt>
                <pt idx="44">
                  <v>0.8895673671520132</v>
                </pt>
                <pt idx="45">
                  <v>0.9095854073439833</v>
                </pt>
                <pt idx="46">
                  <v>0.9259747924655004</v>
                </pt>
                <pt idx="47">
                  <v>0.9393932860885252</v>
                </pt>
                <pt idx="48">
                  <v>0.9503794194776765</v>
                </pt>
                <pt idx="49">
                  <v>0.9593741047407915</v>
                </pt>
                <pt idx="50">
                  <v>0.966738330179961</v>
                </pt>
                <pt idx="51">
                  <v>0.9727676480196079</v>
                </pt>
                <pt idx="52">
                  <v>0.9777040359550089</v>
                </pt>
                <pt idx="53">
                  <v>0.981745608566845</v>
                </pt>
                <pt idx="54">
                  <v>0.9850545683549532</v>
                </pt>
                <pt idx="55">
                  <v>0.9877637154941752</v>
                </pt>
                <pt idx="56">
                  <v>0.9899817775716695</v>
                </pt>
                <pt idx="57">
                  <v>0.9917977732067502</v>
                </pt>
                <pt idx="58">
                  <v>0.9932845846806462</v>
                </pt>
                <pt idx="59">
                  <v>0.9945018829583541</v>
                </pt>
                <pt idx="60">
                  <v>0.9954985224939827</v>
                </pt>
                <pt idx="61">
                  <v>0.9963145019315345</v>
                </pt>
                <pt idx="62">
                  <v>0.996982569390938</v>
                </pt>
                <pt idx="63">
                  <v>0.9975295367650823</v>
                </pt>
                <pt idx="64">
                  <v>0.9979773557752241</v>
                </pt>
                <pt idx="65">
                  <v>0.9983439989706406</v>
                </pt>
                <pt idx="66">
                  <v>0.9986441810301345</v>
                </pt>
                <pt idx="67">
                  <v>0.9988899493137646</v>
                </pt>
                <pt idx="68">
                  <v>0.9990911673657035</v>
                </pt>
                <pt idx="69">
                  <v>0.9992559107729004</v>
                </pt>
                <pt idx="70">
                  <v>0.9993907912667401</v>
                </pt>
                <pt idx="71">
                  <v>0.9995012220750361</v>
                </pt>
                <pt idx="72">
                  <v>0.9995916351738758</v>
                </pt>
                <pt idx="73">
                  <v>0.999665659158377</v>
                </pt>
                <pt idx="74">
                  <v>0.9997262648709526</v>
                </pt>
                <pt idx="75">
                  <v>0.9997758846316511</v>
                </pt>
                <pt idx="76">
                  <v>0.9998165098556955</v>
                </pt>
                <pt idx="77">
                  <v>0.9998497709759713</v>
                </pt>
                <pt idx="78">
                  <v>0.9998770028780228</v>
                </pt>
                <pt idx="79">
                  <v>0.9998992984736974</v>
                </pt>
                <pt idx="80">
                  <v>16</v>
                </pt>
                <pt idx="81">
                  <v>16.57171604436428</v>
                </pt>
                <pt idx="82">
                  <v>17.23583612763322</v>
                </pt>
                <pt idx="83">
                  <v>17.93996763326898</v>
                </pt>
                <pt idx="84">
                  <v>18.63726563377937</v>
                </pt>
                <pt idx="85">
                  <v>19.28640215388529</v>
                </pt>
                <pt idx="86">
                  <v>19.85161424967034</v>
                </pt>
                <pt idx="87">
                  <v>20.30279080828797</v>
                </pt>
                <pt idx="88">
                  <v>20.61556407284119</v>
                </pt>
                <pt idx="89">
                  <v>20.77137755559205</v>
                </pt>
                <pt idx="90">
                  <v>20.7575073121373</v>
                </pt>
                <pt idx="91">
                  <v>20.56701856861985</v>
                </pt>
                <pt idx="92">
                  <v>20.19864445519653</v>
                </pt>
                <pt idx="93">
                  <v>19.65657811181069</v>
                </pt>
                <pt idx="94">
                  <v>18.95017368984415</v>
                </pt>
                <pt idx="95">
                  <v>18.09355575587187</v>
                </pt>
                <pt idx="96">
                  <v>17.10514028325866</v>
                </pt>
                <pt idx="97">
                  <v>16.00707376026761</v>
                </pt>
                <pt idx="98">
                  <v>14.82459991417692</v>
                </pt>
                <pt idx="99">
                  <v>13.58536611478246</v>
                </pt>
                <pt idx="100">
                  <v>12.31868364583275</v>
                </pt>
                <pt idx="101">
                  <v>12.30623341307679</v>
                </pt>
                <pt idx="102">
                  <v>12.29604002463651</v>
                </pt>
                <pt idx="103">
                  <v>12.28769438404238</v>
                </pt>
                <pt idx="104">
                  <v>12.28086155143382</v>
                </pt>
                <pt idx="105">
                  <v>12.27526730124657</v>
                </pt>
                <pt idx="106">
                  <v>12.27068711657785</v>
                </pt>
                <pt idx="107">
                  <v>-2.309014459154549</v>
                </pt>
                <pt idx="108">
                  <v>-1.709191900089527</v>
                </pt>
                <pt idx="109">
                  <v>-1.218098724593068</v>
                </pt>
                <pt idx="110">
                  <v>-0.8160256391873952</v>
                </pt>
                <pt idx="111">
                  <v>-0.4868360391808206</v>
                </pt>
                <pt idx="112">
                  <v>-0.2173183900619975</v>
                </pt>
                <pt idx="113">
                  <v>0.003343997768866735</v>
                </pt>
                <pt idx="114">
                  <v>0.1840070807336129</v>
                </pt>
                <pt idx="115">
                  <v>0.3319215027027296</v>
                </pt>
                <pt idx="116">
                  <v>0.4530235887925986</v>
                </pt>
                <pt idx="117">
                  <v>0.5521735909362722</v>
                </pt>
                <pt idx="118">
                  <v>0.6333507468590467</v>
                </pt>
                <pt idx="119">
                  <v>0.6998129808604281</v>
                </pt>
                <pt idx="120">
                  <v>0.7542276557556233</v>
                </pt>
                <pt idx="121">
                  <v>0.7987786235110601</v>
                </pt>
                <pt idx="122">
                  <v>0.8352538708918225</v>
                </pt>
                <pt idx="123">
                  <v>0.8651172776485794</v>
                </pt>
                <pt idx="124">
                  <v>0.8895673671520132</v>
                </pt>
                <pt idx="125">
                  <v>0.9095854073439833</v>
                </pt>
                <pt idx="126">
                  <v>0.9259747924655004</v>
                </pt>
                <pt idx="127">
                  <v>0.9393932860885252</v>
                </pt>
                <pt idx="128">
                  <v>0.9503794194776765</v>
                </pt>
                <pt idx="129">
                  <v>0.9593741047407915</v>
                </pt>
                <pt idx="130">
                  <v>0.966738330179961</v>
                </pt>
                <pt idx="131">
                  <v>0.9727676480196079</v>
                </pt>
                <pt idx="132">
                  <v>0.9777040359550089</v>
                </pt>
                <pt idx="133">
                  <v>0.981745608566845</v>
                </pt>
                <pt idx="134">
                  <v>0.9850545683549532</v>
                </pt>
                <pt idx="135">
                  <v>0.9877637154941752</v>
                </pt>
                <pt idx="136">
                  <v>0.9899817775716695</v>
                </pt>
                <pt idx="137">
                  <v>0.9917977732067502</v>
                </pt>
                <pt idx="138">
                  <v>0.9932845846806462</v>
                </pt>
                <pt idx="139">
                  <v>0.9945018829583541</v>
                </pt>
                <pt idx="140">
                  <v>0.9954985224939827</v>
                </pt>
                <pt idx="141">
                  <v>0.9963145019315345</v>
                </pt>
                <pt idx="142">
                  <v>0.996982569390938</v>
                </pt>
                <pt idx="143">
                  <v>0.9975295367650823</v>
                </pt>
                <pt idx="144">
                  <v>0.9979773557752241</v>
                </pt>
                <pt idx="145">
                  <v>0.9983439989706406</v>
                </pt>
                <pt idx="146">
                  <v>0.9986441810301345</v>
                </pt>
                <pt idx="147">
                  <v>0.9988899493137646</v>
                </pt>
                <pt idx="148">
                  <v>0.9990911673657035</v>
                </pt>
                <pt idx="149">
                  <v>0.9992559107729004</v>
                </pt>
                <pt idx="150">
                  <v>0.9993907912667401</v>
                </pt>
                <pt idx="151">
                  <v>0.9995012220750361</v>
                </pt>
                <pt idx="152">
                  <v>0.9995916351738758</v>
                </pt>
                <pt idx="153">
                  <v>0.999665659158377</v>
                </pt>
                <pt idx="154">
                  <v>0.9997262648709526</v>
                </pt>
                <pt idx="155">
                  <v>0.9997758846316511</v>
                </pt>
                <pt idx="156">
                  <v>0.9998165098556955</v>
                </pt>
                <pt idx="157">
                  <v>0.9998497709759713</v>
                </pt>
                <pt idx="158">
                  <v>0.9998770028780228</v>
                </pt>
                <pt idx="159">
                  <v>0.9998992984736974</v>
                </pt>
                <pt idx="160">
                  <v>16</v>
                </pt>
                <pt idx="161">
                  <v>16.57171604436429</v>
                </pt>
                <pt idx="162">
                  <v>17.23583612763322</v>
                </pt>
                <pt idx="163">
                  <v>17.93996763326898</v>
                </pt>
                <pt idx="164">
                  <v>18.63726563377936</v>
                </pt>
                <pt idx="165">
                  <v>19.28640215388529</v>
                </pt>
                <pt idx="166">
                  <v>19.85161424967034</v>
                </pt>
                <pt idx="167">
                  <v>20.30279080828797</v>
                </pt>
                <pt idx="168">
                  <v>20.61556407284119</v>
                </pt>
                <pt idx="169">
                  <v>20.77137755559205</v>
                </pt>
                <pt idx="170">
                  <v>20.7575073121373</v>
                </pt>
                <pt idx="171">
                  <v>20.56701856861985</v>
                </pt>
                <pt idx="172">
                  <v>20.19864445519653</v>
                </pt>
                <pt idx="173">
                  <v>19.65657811181069</v>
                </pt>
                <pt idx="174">
                  <v>18.95017368984416</v>
                </pt>
                <pt idx="175">
                  <v>18.09355575587187</v>
                </pt>
                <pt idx="176">
                  <v>17.10514028325864</v>
                </pt>
                <pt idx="177">
                  <v>16.00707376026761</v>
                </pt>
                <pt idx="178">
                  <v>14.82459991417692</v>
                </pt>
                <pt idx="179">
                  <v>13.58536611478249</v>
                </pt>
                <pt idx="180">
                  <v>12.31868364583275</v>
                </pt>
                <pt idx="181">
                  <v>12.30623341307679</v>
                </pt>
                <pt idx="182">
                  <v>12.29604002463651</v>
                </pt>
                <pt idx="183">
                  <v>12.28769438404238</v>
                </pt>
                <pt idx="184">
                  <v>12.28086155143382</v>
                </pt>
                <pt idx="185">
                  <v>12.27526730124657</v>
                </pt>
                <pt idx="186">
                  <v>12.27068711657785</v>
                </pt>
                <pt idx="187">
                  <v>-2.309014459154549</v>
                </pt>
                <pt idx="188">
                  <v>-1.709191900089527</v>
                </pt>
                <pt idx="189">
                  <v>-1.218098724593077</v>
                </pt>
                <pt idx="190">
                  <v>-0.8160256391873952</v>
                </pt>
                <pt idx="191">
                  <v>-0.4868360391808153</v>
                </pt>
                <pt idx="192">
                  <v>-0.2173183900619975</v>
                </pt>
                <pt idx="193">
                  <v>0.003343997768866735</v>
                </pt>
                <pt idx="194">
                  <v>0.1840070807336103</v>
                </pt>
                <pt idx="195">
                  <v>0.3319215027027296</v>
                </pt>
                <pt idx="196">
                  <v>0.4530235887926013</v>
                </pt>
                <pt idx="197">
                  <v>0.5521735909362722</v>
                </pt>
                <pt idx="198">
                  <v>0.6333507468590467</v>
                </pt>
                <pt idx="199">
                  <v>0.6998129808604263</v>
                </pt>
                <pt idx="200">
                  <v>0.7542276557556233</v>
                </pt>
                <pt idx="201">
                  <v>0.798778623511061</v>
                </pt>
                <pt idx="202">
                  <v>0.8352538708918225</v>
                </pt>
                <pt idx="203">
                  <v>0.8651172776485794</v>
                </pt>
                <pt idx="204">
                  <v>0.8895673671520123</v>
                </pt>
                <pt idx="205">
                  <v>0.9095854073439833</v>
                </pt>
                <pt idx="206">
                  <v>0.9259747924655004</v>
                </pt>
                <pt idx="207">
                  <v>0.9393932860885252</v>
                </pt>
                <pt idx="208">
                  <v>0.9503794194776765</v>
                </pt>
                <pt idx="209">
                  <v>0.9593741047407915</v>
                </pt>
                <pt idx="210">
                  <v>0.966738330179961</v>
                </pt>
                <pt idx="211">
                  <v>0.9727676480196088</v>
                </pt>
                <pt idx="212">
                  <v>0.9777040359550089</v>
                </pt>
                <pt idx="213">
                  <v>0.981745608566845</v>
                </pt>
                <pt idx="214">
                  <v>0.9850545683549532</v>
                </pt>
                <pt idx="215">
                  <v>0.9877637154941752</v>
                </pt>
                <pt idx="216">
                  <v>0.9899817775716695</v>
                </pt>
                <pt idx="217">
                  <v>0.9917977732067502</v>
                </pt>
                <pt idx="218">
                  <v>0.9932845846806462</v>
                </pt>
                <pt idx="219">
                  <v>0.9945018829583541</v>
                </pt>
                <pt idx="220">
                  <v>0.9954985224939827</v>
                </pt>
                <pt idx="221">
                  <v>0.9963145019315345</v>
                </pt>
                <pt idx="222">
                  <v>0.996982569390938</v>
                </pt>
                <pt idx="223">
                  <v>0.9975295367650823</v>
                </pt>
                <pt idx="224">
                  <v>0.9979773557752241</v>
                </pt>
                <pt idx="225">
                  <v>0.9983439989706406</v>
                </pt>
                <pt idx="226">
                  <v>0.9986441810301345</v>
                </pt>
                <pt idx="227">
                  <v>0.9988899493137646</v>
                </pt>
                <pt idx="228">
                  <v>0.9990911673657035</v>
                </pt>
                <pt idx="229">
                  <v>0.9992559107729004</v>
                </pt>
                <pt idx="230">
                  <v>0.9993907912667401</v>
                </pt>
                <pt idx="231">
                  <v>0.9995012220750361</v>
                </pt>
                <pt idx="232">
                  <v>0.9995916351738758</v>
                </pt>
                <pt idx="233">
                  <v>0.999665659158377</v>
                </pt>
                <pt idx="234">
                  <v>0.9997262648709526</v>
                </pt>
                <pt idx="235">
                  <v>0.9997758846316511</v>
                </pt>
                <pt idx="236">
                  <v>0.9998165098556955</v>
                </pt>
                <pt idx="237">
                  <v>0.9998497709759713</v>
                </pt>
                <pt idx="238">
                  <v>0.9998770028780228</v>
                </pt>
                <pt idx="239">
                  <v>0.9998992984736974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6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Alveolar Pressure (Palv) — PCV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PCV!$I$27</f>
              <strCache>
                <ptCount val="1"/>
                <pt idx="0">
                  <v>Palv (cmH2O)</v>
                </pt>
              </strCache>
            </strRef>
          </tx>
          <spPr>
            <a:ln xmlns:a="http://schemas.openxmlformats.org/drawingml/2006/main" w="22000">
              <a:solidFill>
                <a:srgbClr val="92D05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PCV!$B$28:$B$267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PCV!$I$28:$I$267</f>
              <numCache>
                <formatCode>0.000</formatCode>
                <ptCount val="240"/>
                <pt idx="0">
                  <v>5</v>
                </pt>
                <pt idx="1">
                  <v>7.719038703830273</v>
                </pt>
                <pt idx="2">
                  <v>9.945199309465409</v>
                </pt>
                <pt idx="3">
                  <v>11.76782545858961</v>
                </pt>
                <pt idx="4">
                  <v>13.26006553824168</v>
                </pt>
                <pt idx="5">
                  <v>14.48180838242836</v>
                </pt>
                <pt idx="6">
                  <v>15.48208682131697</v>
                </pt>
                <pt idx="7">
                  <v>16.3010455408759</v>
                </pt>
                <pt idx="8">
                  <v>16.97155223008017</v>
                </pt>
                <pt idx="9">
                  <v>17.5205166766762</v>
                </pt>
                <pt idx="10">
                  <v>17.96997075145081</v>
                </pt>
                <pt idx="11">
                  <v>18.33795262456499</v>
                </pt>
                <pt idx="12">
                  <v>18.63923070065881</v>
                </pt>
                <pt idx="13">
                  <v>18.88589632678499</v>
                </pt>
                <pt idx="14">
                  <v>19.08784906062173</v>
                </pt>
                <pt idx="15">
                  <v>19.25319397448204</v>
                </pt>
                <pt idx="16">
                  <v>19.38856694032451</v>
                </pt>
                <pt idx="17">
                  <v>19.49940095059511</v>
                </pt>
                <pt idx="18">
                  <v>19.59014416329061</v>
                </pt>
                <pt idx="19">
                  <v>19.66443842215752</v>
                </pt>
                <pt idx="20">
                  <v>19.72526541666899</v>
                </pt>
                <pt idx="21">
                  <v>19.77506634769284</v>
                </pt>
                <pt idx="22">
                  <v>19.81583990145397</v>
                </pt>
                <pt idx="23">
                  <v>19.84922246383049</v>
                </pt>
                <pt idx="24">
                  <v>19.8765537942647</v>
                </pt>
                <pt idx="25">
                  <v>19.89893079501372</v>
                </pt>
                <pt idx="26">
                  <v>19.91725153368859</v>
                </pt>
                <pt idx="27">
                  <v>18.23605783661817</v>
                </pt>
                <pt idx="28">
                  <v>15.83676760035813</v>
                </pt>
                <pt idx="29">
                  <v>13.87239489837228</v>
                </pt>
                <pt idx="30">
                  <v>12.26410255674958</v>
                </pt>
                <pt idx="31">
                  <v>10.94734415672328</v>
                </pt>
                <pt idx="32">
                  <v>9.869273560247983</v>
                </pt>
                <pt idx="33">
                  <v>8.98662400892454</v>
                </pt>
                <pt idx="34">
                  <v>8.26397167706555</v>
                </pt>
                <pt idx="35">
                  <v>7.672313989189082</v>
                </pt>
                <pt idx="36">
                  <v>7.187905644829602</v>
                </pt>
                <pt idx="37">
                  <v>6.791305636254908</v>
                </pt>
                <pt idx="38">
                  <v>6.466597012563815</v>
                </pt>
                <pt idx="39">
                  <v>6.20074807655829</v>
                </pt>
                <pt idx="40">
                  <v>5.983089376977507</v>
                </pt>
                <pt idx="41">
                  <v>5.804885505955759</v>
                </pt>
                <pt idx="42">
                  <v>5.65898451643271</v>
                </pt>
                <pt idx="43">
                  <v>5.539530889405683</v>
                </pt>
                <pt idx="44">
                  <v>5.441730531391948</v>
                </pt>
                <pt idx="45">
                  <v>5.361658370624067</v>
                </pt>
                <pt idx="46">
                  <v>5.296100830137998</v>
                </pt>
                <pt idx="47">
                  <v>5.242426855645898</v>
                </pt>
                <pt idx="48">
                  <v>5.198482322089294</v>
                </pt>
                <pt idx="49">
                  <v>5.162503581036834</v>
                </pt>
                <pt idx="50">
                  <v>5.133046679280156</v>
                </pt>
                <pt idx="51">
                  <v>5.108929407921567</v>
                </pt>
                <pt idx="52">
                  <v>5.089183856179963</v>
                </pt>
                <pt idx="53">
                  <v>5.07301756573262</v>
                </pt>
                <pt idx="54">
                  <v>5.059781726580189</v>
                </pt>
                <pt idx="55">
                  <v>5.0489451380233</v>
                </pt>
                <pt idx="56">
                  <v>5.040072889713322</v>
                </pt>
                <pt idx="57">
                  <v>5.032808907172999</v>
                </pt>
                <pt idx="58">
                  <v>5.026861661277415</v>
                </pt>
                <pt idx="59">
                  <v>5.021992468166584</v>
                </pt>
                <pt idx="60">
                  <v>5.018005910024071</v>
                </pt>
                <pt idx="61">
                  <v>5.014741992273862</v>
                </pt>
                <pt idx="62">
                  <v>5.012069722436249</v>
                </pt>
                <pt idx="63">
                  <v>5.009881852939672</v>
                </pt>
                <pt idx="64">
                  <v>5.008090576899104</v>
                </pt>
                <pt idx="65">
                  <v>5.006624004117438</v>
                </pt>
                <pt idx="66">
                  <v>5.005423275879462</v>
                </pt>
                <pt idx="67">
                  <v>5.004440202744942</v>
                </pt>
                <pt idx="68">
                  <v>5.003635330537185</v>
                </pt>
                <pt idx="69">
                  <v>5.002976356908396</v>
                </pt>
                <pt idx="70">
                  <v>5.00243683493304</v>
                </pt>
                <pt idx="71">
                  <v>5.001995111699855</v>
                </pt>
                <pt idx="72">
                  <v>5.001633459304497</v>
                </pt>
                <pt idx="73">
                  <v>5.001337363366493</v>
                </pt>
                <pt idx="74">
                  <v>5.001094940516188</v>
                </pt>
                <pt idx="75">
                  <v>5.000896461473394</v>
                </pt>
                <pt idx="76">
                  <v>5.000733960577217</v>
                </pt>
                <pt idx="77">
                  <v>5.000600916096115</v>
                </pt>
                <pt idx="78">
                  <v>5.000491988487909</v>
                </pt>
                <pt idx="79">
                  <v>5.000402806105211</v>
                </pt>
                <pt idx="80">
                  <v>5</v>
                </pt>
                <pt idx="81">
                  <v>7.719038703830263</v>
                </pt>
                <pt idx="82">
                  <v>9.945199309465396</v>
                </pt>
                <pt idx="83">
                  <v>11.76782545858962</v>
                </pt>
                <pt idx="84">
                  <v>13.26006553824168</v>
                </pt>
                <pt idx="85">
                  <v>14.48180838242836</v>
                </pt>
                <pt idx="86">
                  <v>15.48208682131696</v>
                </pt>
                <pt idx="87">
                  <v>16.3010455408759</v>
                </pt>
                <pt idx="88">
                  <v>16.97155223008017</v>
                </pt>
                <pt idx="89">
                  <v>17.5205166766762</v>
                </pt>
                <pt idx="90">
                  <v>17.96997075145081</v>
                </pt>
                <pt idx="91">
                  <v>18.33795262456499</v>
                </pt>
                <pt idx="92">
                  <v>18.63923070065881</v>
                </pt>
                <pt idx="93">
                  <v>18.88589632678499</v>
                </pt>
                <pt idx="94">
                  <v>19.08784906062173</v>
                </pt>
                <pt idx="95">
                  <v>19.25319397448204</v>
                </pt>
                <pt idx="96">
                  <v>19.38856694032451</v>
                </pt>
                <pt idx="97">
                  <v>19.49940095059511</v>
                </pt>
                <pt idx="98">
                  <v>19.59014416329061</v>
                </pt>
                <pt idx="99">
                  <v>19.66443842215752</v>
                </pt>
                <pt idx="100">
                  <v>19.72526541666899</v>
                </pt>
                <pt idx="101">
                  <v>19.77506634769284</v>
                </pt>
                <pt idx="102">
                  <v>19.81583990145397</v>
                </pt>
                <pt idx="103">
                  <v>19.84922246383049</v>
                </pt>
                <pt idx="104">
                  <v>19.8765537942647</v>
                </pt>
                <pt idx="105">
                  <v>19.89893079501372</v>
                </pt>
                <pt idx="106">
                  <v>19.91725153368859</v>
                </pt>
                <pt idx="107">
                  <v>18.23605783661819</v>
                </pt>
                <pt idx="108">
                  <v>15.83676760035811</v>
                </pt>
                <pt idx="109">
                  <v>13.87239489837227</v>
                </pt>
                <pt idx="110">
                  <v>12.26410255674958</v>
                </pt>
                <pt idx="111">
                  <v>10.94734415672328</v>
                </pt>
                <pt idx="112">
                  <v>9.86927356024799</v>
                </pt>
                <pt idx="113">
                  <v>8.986624008924533</v>
                </pt>
                <pt idx="114">
                  <v>8.263971677065548</v>
                </pt>
                <pt idx="115">
                  <v>7.672313989189082</v>
                </pt>
                <pt idx="116">
                  <v>7.187905644829604</v>
                </pt>
                <pt idx="117">
                  <v>6.79130563625491</v>
                </pt>
                <pt idx="118">
                  <v>6.466597012563812</v>
                </pt>
                <pt idx="119">
                  <v>6.200748076558289</v>
                </pt>
                <pt idx="120">
                  <v>5.983089376977507</v>
                </pt>
                <pt idx="121">
                  <v>5.804885505955759</v>
                </pt>
                <pt idx="122">
                  <v>5.658984516432711</v>
                </pt>
                <pt idx="123">
                  <v>5.539530889405682</v>
                </pt>
                <pt idx="124">
                  <v>5.441730531391948</v>
                </pt>
                <pt idx="125">
                  <v>5.361658370624067</v>
                </pt>
                <pt idx="126">
                  <v>5.296100830137998</v>
                </pt>
                <pt idx="127">
                  <v>5.242426855645899</v>
                </pt>
                <pt idx="128">
                  <v>5.198482322089293</v>
                </pt>
                <pt idx="129">
                  <v>5.162503581036834</v>
                </pt>
                <pt idx="130">
                  <v>5.133046679280156</v>
                </pt>
                <pt idx="131">
                  <v>5.108929407921567</v>
                </pt>
                <pt idx="132">
                  <v>5.089183856179964</v>
                </pt>
                <pt idx="133">
                  <v>5.07301756573262</v>
                </pt>
                <pt idx="134">
                  <v>5.059781726580189</v>
                </pt>
                <pt idx="135">
                  <v>5.0489451380233</v>
                </pt>
                <pt idx="136">
                  <v>5.040072889713322</v>
                </pt>
                <pt idx="137">
                  <v>5.032808907172999</v>
                </pt>
                <pt idx="138">
                  <v>5.026861661277415</v>
                </pt>
                <pt idx="139">
                  <v>5.021992468166584</v>
                </pt>
                <pt idx="140">
                  <v>5.018005910024071</v>
                </pt>
                <pt idx="141">
                  <v>5.014741992273862</v>
                </pt>
                <pt idx="142">
                  <v>5.012069722436249</v>
                </pt>
                <pt idx="143">
                  <v>5.009881852939672</v>
                </pt>
                <pt idx="144">
                  <v>5.008090576899104</v>
                </pt>
                <pt idx="145">
                  <v>5.006624004117438</v>
                </pt>
                <pt idx="146">
                  <v>5.005423275879462</v>
                </pt>
                <pt idx="147">
                  <v>5.004440202744942</v>
                </pt>
                <pt idx="148">
                  <v>5.003635330537185</v>
                </pt>
                <pt idx="149">
                  <v>5.002976356908396</v>
                </pt>
                <pt idx="150">
                  <v>5.00243683493304</v>
                </pt>
                <pt idx="151">
                  <v>5.001995111699855</v>
                </pt>
                <pt idx="152">
                  <v>5.001633459304497</v>
                </pt>
                <pt idx="153">
                  <v>5.001337363366493</v>
                </pt>
                <pt idx="154">
                  <v>5.001094940516188</v>
                </pt>
                <pt idx="155">
                  <v>5.000896461473394</v>
                </pt>
                <pt idx="156">
                  <v>5.000733960577217</v>
                </pt>
                <pt idx="157">
                  <v>5.000600916096115</v>
                </pt>
                <pt idx="158">
                  <v>5.000491988487909</v>
                </pt>
                <pt idx="159">
                  <v>5.000402806105211</v>
                </pt>
                <pt idx="160">
                  <v>5</v>
                </pt>
                <pt idx="161">
                  <v>7.719038703830307</v>
                </pt>
                <pt idx="162">
                  <v>9.945199309465396</v>
                </pt>
                <pt idx="163">
                  <v>11.76782545858962</v>
                </pt>
                <pt idx="164">
                  <v>13.26006553824166</v>
                </pt>
                <pt idx="165">
                  <v>14.48180838242836</v>
                </pt>
                <pt idx="166">
                  <v>15.48208682131698</v>
                </pt>
                <pt idx="167">
                  <v>16.3010455408759</v>
                </pt>
                <pt idx="168">
                  <v>16.97155223008017</v>
                </pt>
                <pt idx="169">
                  <v>17.52051667667619</v>
                </pt>
                <pt idx="170">
                  <v>17.96997075145081</v>
                </pt>
                <pt idx="171">
                  <v>18.337952624565</v>
                </pt>
                <pt idx="172">
                  <v>18.63923070065881</v>
                </pt>
                <pt idx="173">
                  <v>18.88589632678499</v>
                </pt>
                <pt idx="174">
                  <v>19.08784906062173</v>
                </pt>
                <pt idx="175">
                  <v>19.25319397448204</v>
                </pt>
                <pt idx="176">
                  <v>19.38856694032451</v>
                </pt>
                <pt idx="177">
                  <v>19.49940095059511</v>
                </pt>
                <pt idx="178">
                  <v>19.59014416329061</v>
                </pt>
                <pt idx="179">
                  <v>19.66443842215752</v>
                </pt>
                <pt idx="180">
                  <v>19.72526541666899</v>
                </pt>
                <pt idx="181">
                  <v>19.77506634769284</v>
                </pt>
                <pt idx="182">
                  <v>19.81583990145397</v>
                </pt>
                <pt idx="183">
                  <v>19.84922246383049</v>
                </pt>
                <pt idx="184">
                  <v>19.8765537942647</v>
                </pt>
                <pt idx="185">
                  <v>19.89893079501372</v>
                </pt>
                <pt idx="186">
                  <v>19.91725153368859</v>
                </pt>
                <pt idx="187">
                  <v>18.23605783661819</v>
                </pt>
                <pt idx="188">
                  <v>15.83676760035811</v>
                </pt>
                <pt idx="189">
                  <v>13.8723948983723</v>
                </pt>
                <pt idx="190">
                  <v>12.26410255674958</v>
                </pt>
                <pt idx="191">
                  <v>10.94734415672326</v>
                </pt>
                <pt idx="192">
                  <v>9.86927356024799</v>
                </pt>
                <pt idx="193">
                  <v>8.986624008924533</v>
                </pt>
                <pt idx="194">
                  <v>8.263971677065559</v>
                </pt>
                <pt idx="195">
                  <v>7.672313989189082</v>
                </pt>
                <pt idx="196">
                  <v>7.187905644829597</v>
                </pt>
                <pt idx="197">
                  <v>6.79130563625491</v>
                </pt>
                <pt idx="198">
                  <v>6.466597012563812</v>
                </pt>
                <pt idx="199">
                  <v>6.200748076558293</v>
                </pt>
                <pt idx="200">
                  <v>5.983089376977507</v>
                </pt>
                <pt idx="201">
                  <v>5.804885505955756</v>
                </pt>
                <pt idx="202">
                  <v>5.658984516432711</v>
                </pt>
                <pt idx="203">
                  <v>5.539530889405682</v>
                </pt>
                <pt idx="204">
                  <v>5.441730531391949</v>
                </pt>
                <pt idx="205">
                  <v>5.361658370624067</v>
                </pt>
                <pt idx="206">
                  <v>5.296100830137997</v>
                </pt>
                <pt idx="207">
                  <v>5.242426855645899</v>
                </pt>
                <pt idx="208">
                  <v>5.198482322089293</v>
                </pt>
                <pt idx="209">
                  <v>5.162503581036835</v>
                </pt>
                <pt idx="210">
                  <v>5.133046679280156</v>
                </pt>
                <pt idx="211">
                  <v>5.108929407921567</v>
                </pt>
                <pt idx="212">
                  <v>5.089183856179964</v>
                </pt>
                <pt idx="213">
                  <v>5.07301756573262</v>
                </pt>
                <pt idx="214">
                  <v>5.059781726580189</v>
                </pt>
                <pt idx="215">
                  <v>5.0489451380233</v>
                </pt>
                <pt idx="216">
                  <v>5.040072889713322</v>
                </pt>
                <pt idx="217">
                  <v>5.032808907172999</v>
                </pt>
                <pt idx="218">
                  <v>5.026861661277415</v>
                </pt>
                <pt idx="219">
                  <v>5.021992468166584</v>
                </pt>
                <pt idx="220">
                  <v>5.018005910024071</v>
                </pt>
                <pt idx="221">
                  <v>5.014741992273862</v>
                </pt>
                <pt idx="222">
                  <v>5.012069722436249</v>
                </pt>
                <pt idx="223">
                  <v>5.009881852939672</v>
                </pt>
                <pt idx="224">
                  <v>5.008090576899104</v>
                </pt>
                <pt idx="225">
                  <v>5.006624004117438</v>
                </pt>
                <pt idx="226">
                  <v>5.005423275879462</v>
                </pt>
                <pt idx="227">
                  <v>5.004440202744942</v>
                </pt>
                <pt idx="228">
                  <v>5.003635330537185</v>
                </pt>
                <pt idx="229">
                  <v>5.002976356908396</v>
                </pt>
                <pt idx="230">
                  <v>5.00243683493304</v>
                </pt>
                <pt idx="231">
                  <v>5.001995111699855</v>
                </pt>
                <pt idx="232">
                  <v>5.001633459304497</v>
                </pt>
                <pt idx="233">
                  <v>5.001337363366493</v>
                </pt>
                <pt idx="234">
                  <v>5.001094940516188</v>
                </pt>
                <pt idx="235">
                  <v>5.000896461473394</v>
                </pt>
                <pt idx="236">
                  <v>5.000733960577217</v>
                </pt>
                <pt idx="237">
                  <v>5.000600916096115</v>
                </pt>
                <pt idx="238">
                  <v>5.000491988487909</v>
                </pt>
                <pt idx="239">
                  <v>5.000402806105211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17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P-V Loop (Paw) — PCV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PCV!$E$28:$E$107</f>
              <numCache>
                <formatCode>0.0</formatCode>
                <ptCount val="80"/>
                <pt idx="0">
                  <v>0</v>
                </pt>
                <pt idx="1">
                  <v>135.9519351915136</v>
                </pt>
                <pt idx="2">
                  <v>247.2599654732705</v>
                </pt>
                <pt idx="3">
                  <v>338.3912729294802</v>
                </pt>
                <pt idx="4">
                  <v>413.0032769120838</v>
                </pt>
                <pt idx="5">
                  <v>474.0904191214182</v>
                </pt>
                <pt idx="6">
                  <v>524.1043410658483</v>
                </pt>
                <pt idx="7">
                  <v>565.0522770437951</v>
                </pt>
                <pt idx="8">
                  <v>598.5776115040085</v>
                </pt>
                <pt idx="9">
                  <v>626.02583383381</v>
                </pt>
                <pt idx="10">
                  <v>648.4985375725405</v>
                </pt>
                <pt idx="11">
                  <v>666.8976312282496</v>
                </pt>
                <pt idx="12">
                  <v>681.9615350329407</v>
                </pt>
                <pt idx="13">
                  <v>694.2948163392496</v>
                </pt>
                <pt idx="14">
                  <v>704.3924530310866</v>
                </pt>
                <pt idx="15">
                  <v>712.6596987241021</v>
                </pt>
                <pt idx="16">
                  <v>719.4283470162254</v>
                </pt>
                <pt idx="17">
                  <v>724.9700475297554</v>
                </pt>
                <pt idx="18">
                  <v>729.5072081645307</v>
                </pt>
                <pt idx="19">
                  <v>733.2219211078758</v>
                </pt>
                <pt idx="20">
                  <v>736.2632708334494</v>
                </pt>
                <pt idx="21">
                  <v>738.7533173846417</v>
                </pt>
                <pt idx="22">
                  <v>740.7919950726987</v>
                </pt>
                <pt idx="23">
                  <v>742.4611231915248</v>
                </pt>
                <pt idx="24">
                  <v>743.827689713235</v>
                </pt>
                <pt idx="25">
                  <v>744.9465397506859</v>
                </pt>
                <pt idx="26">
                  <v>745.8625766844294</v>
                </pt>
                <pt idx="27">
                  <v>661.8028918309086</v>
                </pt>
                <pt idx="28">
                  <v>541.8383800179064</v>
                </pt>
                <pt idx="29">
                  <v>443.6197449186141</v>
                </pt>
                <pt idx="30">
                  <v>363.2051278374791</v>
                </pt>
                <pt idx="31">
                  <v>297.3672078361638</v>
                </pt>
                <pt idx="32">
                  <v>243.4636780123992</v>
                </pt>
                <pt idx="33">
                  <v>199.331200446227</v>
                </pt>
                <pt idx="34">
                  <v>163.1985838532775</v>
                </pt>
                <pt idx="35">
                  <v>133.615699459454</v>
                </pt>
                <pt idx="36">
                  <v>109.3952822414801</v>
                </pt>
                <pt idx="37">
                  <v>89.56528181274537</v>
                </pt>
                <pt idx="38">
                  <v>73.32985062819074</v>
                </pt>
                <pt idx="39">
                  <v>60.03740382791451</v>
                </pt>
                <pt idx="40">
                  <v>49.15446884887535</v>
                </pt>
                <pt idx="41">
                  <v>40.24427529778794</v>
                </pt>
                <pt idx="42">
                  <v>32.94922582163551</v>
                </pt>
                <pt idx="43">
                  <v>26.97654447028415</v>
                </pt>
                <pt idx="44">
                  <v>22.08652656959738</v>
                </pt>
                <pt idx="45">
                  <v>18.08291853120333</v>
                </pt>
                <pt idx="46">
                  <v>14.80504150689991</v>
                </pt>
                <pt idx="47">
                  <v>12.12134278229493</v>
                </pt>
                <pt idx="48">
                  <v>9.924116104464694</v>
                </pt>
                <pt idx="49">
                  <v>8.125179051841698</v>
                </pt>
                <pt idx="50">
                  <v>6.652333964007801</v>
                </pt>
                <pt idx="51">
                  <v>5.446470396078347</v>
                </pt>
                <pt idx="52">
                  <v>4.459192808998155</v>
                </pt>
                <pt idx="53">
                  <v>3.650878286630983</v>
                </pt>
                <pt idx="54">
                  <v>2.989086329009433</v>
                </pt>
                <pt idx="55">
                  <v>2.447256901164995</v>
                </pt>
                <pt idx="56">
                  <v>2.003644485666106</v>
                </pt>
                <pt idx="57">
                  <v>1.640445358649955</v>
                </pt>
                <pt idx="58">
                  <v>1.343083063870759</v>
                </pt>
                <pt idx="59">
                  <v>1.099623408329188</v>
                </pt>
                <pt idx="60">
                  <v>0.9002955012035342</v>
                </pt>
                <pt idx="61">
                  <v>0.7370996136930892</v>
                </pt>
                <pt idx="62">
                  <v>0.6034861218124318</v>
                </pt>
                <pt idx="63">
                  <v>0.4940926469836033</v>
                </pt>
                <pt idx="64">
                  <v>0.4045288449551785</v>
                </pt>
                <pt idx="65">
                  <v>0.3312002058719197</v>
                </pt>
                <pt idx="66">
                  <v>0.2711637939730996</v>
                </pt>
                <pt idx="67">
                  <v>0.2220101372470782</v>
                </pt>
                <pt idx="68">
                  <v>0.1817665268592465</v>
                </pt>
                <pt idx="69">
                  <v>0.1488178454198402</v>
                </pt>
                <pt idx="70">
                  <v>0.1218417466520286</v>
                </pt>
                <pt idx="71">
                  <v>0.09975558499275211</v>
                </pt>
                <pt idx="72">
                  <v>0.08167296522485033</v>
                </pt>
                <pt idx="73">
                  <v>0.06686816832465359</v>
                </pt>
                <pt idx="74">
                  <v>0.05474702580938891</v>
                </pt>
                <pt idx="75">
                  <v>0.04482307366970073</v>
                </pt>
                <pt idx="76">
                  <v>0.03669802886086397</v>
                </pt>
                <pt idx="77">
                  <v>0.03004580480573258</v>
                </pt>
                <pt idx="78">
                  <v>0.0245994243954315</v>
                </pt>
                <pt idx="79">
                  <v>0.02014030526055653</v>
                </pt>
              </numCache>
            </numRef>
          </xVal>
          <yVal>
            <numRef>
              <f>PCV!$C$28:$C$107</f>
              <numCache>
                <formatCode>0.000</formatCode>
                <ptCount val="80"/>
                <pt idx="0">
                  <v>20</v>
                </pt>
                <pt idx="1">
                  <v>20</v>
                </pt>
                <pt idx="2">
                  <v>20</v>
                </pt>
                <pt idx="3">
                  <v>20</v>
                </pt>
                <pt idx="4">
                  <v>20</v>
                </pt>
                <pt idx="5">
                  <v>20</v>
                </pt>
                <pt idx="6">
                  <v>20</v>
                </pt>
                <pt idx="7">
                  <v>20</v>
                </pt>
                <pt idx="8">
                  <v>20</v>
                </pt>
                <pt idx="9">
                  <v>20</v>
                </pt>
                <pt idx="10">
                  <v>20</v>
                </pt>
                <pt idx="11">
                  <v>20</v>
                </pt>
                <pt idx="12">
                  <v>20</v>
                </pt>
                <pt idx="13">
                  <v>20</v>
                </pt>
                <pt idx="14">
                  <v>20</v>
                </pt>
                <pt idx="15">
                  <v>20</v>
                </pt>
                <pt idx="16">
                  <v>20</v>
                </pt>
                <pt idx="17">
                  <v>20</v>
                </pt>
                <pt idx="18">
                  <v>20</v>
                </pt>
                <pt idx="19">
                  <v>20</v>
                </pt>
                <pt idx="20">
                  <v>20</v>
                </pt>
                <pt idx="21">
                  <v>20</v>
                </pt>
                <pt idx="22">
                  <v>20</v>
                </pt>
                <pt idx="23">
                  <v>20</v>
                </pt>
                <pt idx="24">
                  <v>20</v>
                </pt>
                <pt idx="25">
                  <v>20</v>
                </pt>
                <pt idx="26">
                  <v>20</v>
                </pt>
                <pt idx="27">
                  <v>5</v>
                </pt>
                <pt idx="28">
                  <v>5</v>
                </pt>
                <pt idx="29">
                  <v>5</v>
                </pt>
                <pt idx="30">
                  <v>5</v>
                </pt>
                <pt idx="31">
                  <v>5</v>
                </pt>
                <pt idx="32">
                  <v>5</v>
                </pt>
                <pt idx="33">
                  <v>5</v>
                </pt>
                <pt idx="34">
                  <v>5</v>
                </pt>
                <pt idx="35">
                  <v>5</v>
                </pt>
                <pt idx="36">
                  <v>5</v>
                </pt>
                <pt idx="37">
                  <v>5</v>
                </pt>
                <pt idx="38">
                  <v>5</v>
                </pt>
                <pt idx="39">
                  <v>5</v>
                </pt>
                <pt idx="40">
                  <v>5</v>
                </pt>
                <pt idx="41">
                  <v>5</v>
                </pt>
                <pt idx="42">
                  <v>5</v>
                </pt>
                <pt idx="43">
                  <v>5</v>
                </pt>
                <pt idx="44">
                  <v>5</v>
                </pt>
                <pt idx="45">
                  <v>5</v>
                </pt>
                <pt idx="46">
                  <v>5</v>
                </pt>
                <pt idx="47">
                  <v>5</v>
                </pt>
                <pt idx="48">
                  <v>5</v>
                </pt>
                <pt idx="49">
                  <v>5</v>
                </pt>
                <pt idx="50">
                  <v>5</v>
                </pt>
                <pt idx="51">
                  <v>5</v>
                </pt>
                <pt idx="52">
                  <v>5</v>
                </pt>
                <pt idx="53">
                  <v>5</v>
                </pt>
                <pt idx="54">
                  <v>5</v>
                </pt>
                <pt idx="55">
                  <v>5</v>
                </pt>
                <pt idx="56">
                  <v>5</v>
                </pt>
                <pt idx="57">
                  <v>5</v>
                </pt>
                <pt idx="58">
                  <v>5</v>
                </pt>
                <pt idx="59">
                  <v>5</v>
                </pt>
                <pt idx="60">
                  <v>5</v>
                </pt>
                <pt idx="61">
                  <v>5</v>
                </pt>
                <pt idx="62">
                  <v>5</v>
                </pt>
                <pt idx="63">
                  <v>5</v>
                </pt>
                <pt idx="64">
                  <v>5</v>
                </pt>
                <pt idx="65">
                  <v>5</v>
                </pt>
                <pt idx="66">
                  <v>5</v>
                </pt>
                <pt idx="67">
                  <v>5</v>
                </pt>
                <pt idx="68">
                  <v>5</v>
                </pt>
                <pt idx="69">
                  <v>5</v>
                </pt>
                <pt idx="70">
                  <v>5</v>
                </pt>
                <pt idx="71">
                  <v>5</v>
                </pt>
                <pt idx="72">
                  <v>5</v>
                </pt>
                <pt idx="73">
                  <v>5</v>
                </pt>
                <pt idx="74">
                  <v>5</v>
                </pt>
                <pt idx="75">
                  <v>5</v>
                </pt>
                <pt idx="76">
                  <v>5</v>
                </pt>
                <pt idx="77">
                  <v>5</v>
                </pt>
                <pt idx="78">
                  <v>5</v>
                </pt>
                <pt idx="79">
                  <v>5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18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P-V Loop — PCV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PCV!$E$28:$E$107</f>
              <numCache>
                <formatCode>0.0</formatCode>
                <ptCount val="80"/>
                <pt idx="0">
                  <v>0</v>
                </pt>
                <pt idx="1">
                  <v>135.9519351915136</v>
                </pt>
                <pt idx="2">
                  <v>247.2599654732705</v>
                </pt>
                <pt idx="3">
                  <v>338.3912729294802</v>
                </pt>
                <pt idx="4">
                  <v>413.0032769120838</v>
                </pt>
                <pt idx="5">
                  <v>474.0904191214182</v>
                </pt>
                <pt idx="6">
                  <v>524.1043410658483</v>
                </pt>
                <pt idx="7">
                  <v>565.0522770437951</v>
                </pt>
                <pt idx="8">
                  <v>598.5776115040085</v>
                </pt>
                <pt idx="9">
                  <v>626.02583383381</v>
                </pt>
                <pt idx="10">
                  <v>648.4985375725405</v>
                </pt>
                <pt idx="11">
                  <v>666.8976312282496</v>
                </pt>
                <pt idx="12">
                  <v>681.9615350329407</v>
                </pt>
                <pt idx="13">
                  <v>694.2948163392496</v>
                </pt>
                <pt idx="14">
                  <v>704.3924530310866</v>
                </pt>
                <pt idx="15">
                  <v>712.6596987241021</v>
                </pt>
                <pt idx="16">
                  <v>719.4283470162254</v>
                </pt>
                <pt idx="17">
                  <v>724.9700475297554</v>
                </pt>
                <pt idx="18">
                  <v>729.5072081645307</v>
                </pt>
                <pt idx="19">
                  <v>733.2219211078758</v>
                </pt>
                <pt idx="20">
                  <v>736.2632708334494</v>
                </pt>
                <pt idx="21">
                  <v>738.7533173846417</v>
                </pt>
                <pt idx="22">
                  <v>740.7919950726987</v>
                </pt>
                <pt idx="23">
                  <v>742.4611231915248</v>
                </pt>
                <pt idx="24">
                  <v>743.827689713235</v>
                </pt>
                <pt idx="25">
                  <v>744.9465397506859</v>
                </pt>
                <pt idx="26">
                  <v>745.8625766844294</v>
                </pt>
                <pt idx="27">
                  <v>661.8028918309086</v>
                </pt>
                <pt idx="28">
                  <v>541.8383800179064</v>
                </pt>
                <pt idx="29">
                  <v>443.6197449186141</v>
                </pt>
                <pt idx="30">
                  <v>363.2051278374791</v>
                </pt>
                <pt idx="31">
                  <v>297.3672078361638</v>
                </pt>
                <pt idx="32">
                  <v>243.4636780123992</v>
                </pt>
                <pt idx="33">
                  <v>199.331200446227</v>
                </pt>
                <pt idx="34">
                  <v>163.1985838532775</v>
                </pt>
                <pt idx="35">
                  <v>133.615699459454</v>
                </pt>
                <pt idx="36">
                  <v>109.3952822414801</v>
                </pt>
                <pt idx="37">
                  <v>89.56528181274537</v>
                </pt>
                <pt idx="38">
                  <v>73.32985062819074</v>
                </pt>
                <pt idx="39">
                  <v>60.03740382791451</v>
                </pt>
                <pt idx="40">
                  <v>49.15446884887535</v>
                </pt>
                <pt idx="41">
                  <v>40.24427529778794</v>
                </pt>
                <pt idx="42">
                  <v>32.94922582163551</v>
                </pt>
                <pt idx="43">
                  <v>26.97654447028415</v>
                </pt>
                <pt idx="44">
                  <v>22.08652656959738</v>
                </pt>
                <pt idx="45">
                  <v>18.08291853120333</v>
                </pt>
                <pt idx="46">
                  <v>14.80504150689991</v>
                </pt>
                <pt idx="47">
                  <v>12.12134278229493</v>
                </pt>
                <pt idx="48">
                  <v>9.924116104464694</v>
                </pt>
                <pt idx="49">
                  <v>8.125179051841698</v>
                </pt>
                <pt idx="50">
                  <v>6.652333964007801</v>
                </pt>
                <pt idx="51">
                  <v>5.446470396078347</v>
                </pt>
                <pt idx="52">
                  <v>4.459192808998155</v>
                </pt>
                <pt idx="53">
                  <v>3.650878286630983</v>
                </pt>
                <pt idx="54">
                  <v>2.989086329009433</v>
                </pt>
                <pt idx="55">
                  <v>2.447256901164995</v>
                </pt>
                <pt idx="56">
                  <v>2.003644485666106</v>
                </pt>
                <pt idx="57">
                  <v>1.640445358649955</v>
                </pt>
                <pt idx="58">
                  <v>1.343083063870759</v>
                </pt>
                <pt idx="59">
                  <v>1.099623408329188</v>
                </pt>
                <pt idx="60">
                  <v>0.9002955012035342</v>
                </pt>
                <pt idx="61">
                  <v>0.7370996136930892</v>
                </pt>
                <pt idx="62">
                  <v>0.6034861218124318</v>
                </pt>
                <pt idx="63">
                  <v>0.4940926469836033</v>
                </pt>
                <pt idx="64">
                  <v>0.4045288449551785</v>
                </pt>
                <pt idx="65">
                  <v>0.3312002058719197</v>
                </pt>
                <pt idx="66">
                  <v>0.2711637939730996</v>
                </pt>
                <pt idx="67">
                  <v>0.2220101372470782</v>
                </pt>
                <pt idx="68">
                  <v>0.1817665268592465</v>
                </pt>
                <pt idx="69">
                  <v>0.1488178454198402</v>
                </pt>
                <pt idx="70">
                  <v>0.1218417466520286</v>
                </pt>
                <pt idx="71">
                  <v>0.09975558499275211</v>
                </pt>
                <pt idx="72">
                  <v>0.08167296522485033</v>
                </pt>
                <pt idx="73">
                  <v>0.06686816832465359</v>
                </pt>
                <pt idx="74">
                  <v>0.05474702580938891</v>
                </pt>
                <pt idx="75">
                  <v>0.04482307366970073</v>
                </pt>
                <pt idx="76">
                  <v>0.03669802886086397</v>
                </pt>
                <pt idx="77">
                  <v>0.03004580480573258</v>
                </pt>
                <pt idx="78">
                  <v>0.0245994243954315</v>
                </pt>
                <pt idx="79">
                  <v>0.02014030526055653</v>
                </pt>
              </numCache>
            </numRef>
          </xVal>
          <yVal>
            <numRef>
              <f>PCV!$H$28:$H$107</f>
              <numCache>
                <formatCode>0.000</formatCode>
                <ptCount val="80"/>
                <pt idx="0">
                  <v>16</v>
                </pt>
                <pt idx="1">
                  <v>16.57171604436428</v>
                </pt>
                <pt idx="2">
                  <v>17.23583612763323</v>
                </pt>
                <pt idx="3">
                  <v>17.93996763326897</v>
                </pt>
                <pt idx="4">
                  <v>18.63726563377936</v>
                </pt>
                <pt idx="5">
                  <v>19.28640215388529</v>
                </pt>
                <pt idx="6">
                  <v>19.85161424967034</v>
                </pt>
                <pt idx="7">
                  <v>20.30279080828797</v>
                </pt>
                <pt idx="8">
                  <v>20.61556407284118</v>
                </pt>
                <pt idx="9">
                  <v>20.77137755559205</v>
                </pt>
                <pt idx="10">
                  <v>20.7575073121373</v>
                </pt>
                <pt idx="11">
                  <v>20.56701856861985</v>
                </pt>
                <pt idx="12">
                  <v>20.19864445519653</v>
                </pt>
                <pt idx="13">
                  <v>19.6565781118107</v>
                </pt>
                <pt idx="14">
                  <v>18.95017368984415</v>
                </pt>
                <pt idx="15">
                  <v>18.09355575587187</v>
                </pt>
                <pt idx="16">
                  <v>17.10514028325866</v>
                </pt>
                <pt idx="17">
                  <v>16.0070737602676</v>
                </pt>
                <pt idx="18">
                  <v>14.82459991417693</v>
                </pt>
                <pt idx="19">
                  <v>13.58536611478247</v>
                </pt>
                <pt idx="20">
                  <v>12.31868364583275</v>
                </pt>
                <pt idx="21">
                  <v>12.30623341307679</v>
                </pt>
                <pt idx="22">
                  <v>12.29604002463651</v>
                </pt>
                <pt idx="23">
                  <v>12.28769438404238</v>
                </pt>
                <pt idx="24">
                  <v>12.28086155143382</v>
                </pt>
                <pt idx="25">
                  <v>12.27526730124657</v>
                </pt>
                <pt idx="26">
                  <v>12.27068711657785</v>
                </pt>
                <pt idx="27">
                  <v>-2.309014459154543</v>
                </pt>
                <pt idx="28">
                  <v>-1.709191900089532</v>
                </pt>
                <pt idx="29">
                  <v>-1.21809872459307</v>
                </pt>
                <pt idx="30">
                  <v>-0.8160256391873952</v>
                </pt>
                <pt idx="31">
                  <v>-0.4868360391808189</v>
                </pt>
                <pt idx="32">
                  <v>-0.2173183900619957</v>
                </pt>
                <pt idx="33">
                  <v>0.003343997768864959</v>
                </pt>
                <pt idx="34">
                  <v>0.184007080733612</v>
                </pt>
                <pt idx="35">
                  <v>0.3319215027027296</v>
                </pt>
                <pt idx="36">
                  <v>0.4530235887925995</v>
                </pt>
                <pt idx="37">
                  <v>0.5521735909362731</v>
                </pt>
                <pt idx="38">
                  <v>0.6333507468590467</v>
                </pt>
                <pt idx="39">
                  <v>0.6998129808604272</v>
                </pt>
                <pt idx="40">
                  <v>0.7542276557556233</v>
                </pt>
                <pt idx="41">
                  <v>0.7987786235110601</v>
                </pt>
                <pt idx="42">
                  <v>0.8352538708918225</v>
                </pt>
                <pt idx="43">
                  <v>0.8651172776485794</v>
                </pt>
                <pt idx="44">
                  <v>0.8895673671520132</v>
                </pt>
                <pt idx="45">
                  <v>0.9095854073439833</v>
                </pt>
                <pt idx="46">
                  <v>0.9259747924655004</v>
                </pt>
                <pt idx="47">
                  <v>0.9393932860885252</v>
                </pt>
                <pt idx="48">
                  <v>0.9503794194776765</v>
                </pt>
                <pt idx="49">
                  <v>0.9593741047407915</v>
                </pt>
                <pt idx="50">
                  <v>0.966738330179961</v>
                </pt>
                <pt idx="51">
                  <v>0.9727676480196079</v>
                </pt>
                <pt idx="52">
                  <v>0.9777040359550089</v>
                </pt>
                <pt idx="53">
                  <v>0.981745608566845</v>
                </pt>
                <pt idx="54">
                  <v>0.9850545683549532</v>
                </pt>
                <pt idx="55">
                  <v>0.9877637154941752</v>
                </pt>
                <pt idx="56">
                  <v>0.9899817775716695</v>
                </pt>
                <pt idx="57">
                  <v>0.9917977732067502</v>
                </pt>
                <pt idx="58">
                  <v>0.9932845846806462</v>
                </pt>
                <pt idx="59">
                  <v>0.9945018829583541</v>
                </pt>
                <pt idx="60">
                  <v>0.9954985224939827</v>
                </pt>
                <pt idx="61">
                  <v>0.9963145019315345</v>
                </pt>
                <pt idx="62">
                  <v>0.996982569390938</v>
                </pt>
                <pt idx="63">
                  <v>0.9975295367650823</v>
                </pt>
                <pt idx="64">
                  <v>0.9979773557752241</v>
                </pt>
                <pt idx="65">
                  <v>0.9983439989706406</v>
                </pt>
                <pt idx="66">
                  <v>0.9986441810301345</v>
                </pt>
                <pt idx="67">
                  <v>0.9988899493137646</v>
                </pt>
                <pt idx="68">
                  <v>0.9990911673657035</v>
                </pt>
                <pt idx="69">
                  <v>0.9992559107729004</v>
                </pt>
                <pt idx="70">
                  <v>0.9993907912667401</v>
                </pt>
                <pt idx="71">
                  <v>0.9995012220750361</v>
                </pt>
                <pt idx="72">
                  <v>0.9995916351738758</v>
                </pt>
                <pt idx="73">
                  <v>0.999665659158377</v>
                </pt>
                <pt idx="74">
                  <v>0.9997262648709526</v>
                </pt>
                <pt idx="75">
                  <v>0.9997758846316511</v>
                </pt>
                <pt idx="76">
                  <v>0.9998165098556955</v>
                </pt>
                <pt idx="77">
                  <v>0.9998497709759713</v>
                </pt>
                <pt idx="78">
                  <v>0.9998770028780228</v>
                </pt>
                <pt idx="79">
                  <v>0.9998992984736974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19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Airway Pressure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PSV!$C$28</f>
              <strCache>
                <ptCount val="1"/>
                <pt idx="0">
                  <v>Paw (cmH2O)</v>
                </pt>
              </strCache>
            </strRef>
          </tx>
          <spPr>
            <a:ln xmlns:a="http://schemas.openxmlformats.org/drawingml/2006/main" w="22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PSV!$C$29:$C$268</f>
              <numCache>
                <formatCode>0.000</formatCode>
                <ptCount val="240"/>
                <pt idx="0">
                  <v>15</v>
                </pt>
                <pt idx="1">
                  <v>15</v>
                </pt>
                <pt idx="2">
                  <v>15</v>
                </pt>
                <pt idx="3">
                  <v>15</v>
                </pt>
                <pt idx="4">
                  <v>15</v>
                </pt>
                <pt idx="5">
                  <v>15</v>
                </pt>
                <pt idx="6">
                  <v>15</v>
                </pt>
                <pt idx="7">
                  <v>15</v>
                </pt>
                <pt idx="8">
                  <v>15</v>
                </pt>
                <pt idx="9">
                  <v>15</v>
                </pt>
                <pt idx="10">
                  <v>15</v>
                </pt>
                <pt idx="11">
                  <v>15</v>
                </pt>
                <pt idx="12">
                  <v>15</v>
                </pt>
                <pt idx="13">
                  <v>15</v>
                </pt>
                <pt idx="14">
                  <v>15</v>
                </pt>
                <pt idx="15">
                  <v>15</v>
                </pt>
                <pt idx="16">
                  <v>15</v>
                </pt>
                <pt idx="17">
                  <v>15</v>
                </pt>
                <pt idx="18">
                  <v>15</v>
                </pt>
                <pt idx="19">
                  <v>15</v>
                </pt>
                <pt idx="20">
                  <v>15</v>
                </pt>
                <pt idx="21">
                  <v>15</v>
                </pt>
                <pt idx="22">
                  <v>15</v>
                </pt>
                <pt idx="23">
                  <v>15</v>
                </pt>
                <pt idx="24">
                  <v>15</v>
                </pt>
                <pt idx="25">
                  <v>15</v>
                </pt>
                <pt idx="26">
                  <v>15</v>
                </pt>
                <pt idx="27">
                  <v>5</v>
                </pt>
                <pt idx="28">
                  <v>5</v>
                </pt>
                <pt idx="29">
                  <v>5</v>
                </pt>
                <pt idx="30">
                  <v>5</v>
                </pt>
                <pt idx="31">
                  <v>5</v>
                </pt>
                <pt idx="32">
                  <v>5</v>
                </pt>
                <pt idx="33">
                  <v>5</v>
                </pt>
                <pt idx="34">
                  <v>5</v>
                </pt>
                <pt idx="35">
                  <v>5</v>
                </pt>
                <pt idx="36">
                  <v>5</v>
                </pt>
                <pt idx="37">
                  <v>5</v>
                </pt>
                <pt idx="38">
                  <v>5</v>
                </pt>
                <pt idx="39">
                  <v>5</v>
                </pt>
                <pt idx="40">
                  <v>5</v>
                </pt>
                <pt idx="41">
                  <v>5</v>
                </pt>
                <pt idx="42">
                  <v>5</v>
                </pt>
                <pt idx="43">
                  <v>5</v>
                </pt>
                <pt idx="44">
                  <v>5</v>
                </pt>
                <pt idx="45">
                  <v>5</v>
                </pt>
                <pt idx="46">
                  <v>5</v>
                </pt>
                <pt idx="47">
                  <v>5</v>
                </pt>
                <pt idx="48">
                  <v>5</v>
                </pt>
                <pt idx="49">
                  <v>5</v>
                </pt>
                <pt idx="50">
                  <v>5</v>
                </pt>
                <pt idx="51">
                  <v>5</v>
                </pt>
                <pt idx="52">
                  <v>5</v>
                </pt>
                <pt idx="53">
                  <v>5</v>
                </pt>
                <pt idx="54">
                  <v>5</v>
                </pt>
                <pt idx="55">
                  <v>5</v>
                </pt>
                <pt idx="56">
                  <v>5</v>
                </pt>
                <pt idx="57">
                  <v>5</v>
                </pt>
                <pt idx="58">
                  <v>5</v>
                </pt>
                <pt idx="59">
                  <v>5</v>
                </pt>
                <pt idx="60">
                  <v>5</v>
                </pt>
                <pt idx="61">
                  <v>5</v>
                </pt>
                <pt idx="62">
                  <v>5</v>
                </pt>
                <pt idx="63">
                  <v>5</v>
                </pt>
                <pt idx="64">
                  <v>5</v>
                </pt>
                <pt idx="65">
                  <v>5</v>
                </pt>
                <pt idx="66">
                  <v>5</v>
                </pt>
                <pt idx="67">
                  <v>5</v>
                </pt>
                <pt idx="68">
                  <v>5</v>
                </pt>
                <pt idx="69">
                  <v>5</v>
                </pt>
                <pt idx="70">
                  <v>5</v>
                </pt>
                <pt idx="71">
                  <v>5</v>
                </pt>
                <pt idx="72">
                  <v>5</v>
                </pt>
                <pt idx="73">
                  <v>5</v>
                </pt>
                <pt idx="74">
                  <v>5</v>
                </pt>
                <pt idx="75">
                  <v>5</v>
                </pt>
                <pt idx="76">
                  <v>5</v>
                </pt>
                <pt idx="77">
                  <v>5</v>
                </pt>
                <pt idx="78">
                  <v>5</v>
                </pt>
                <pt idx="79">
                  <v>5</v>
                </pt>
                <pt idx="80">
                  <v>15</v>
                </pt>
                <pt idx="81">
                  <v>15</v>
                </pt>
                <pt idx="82">
                  <v>15</v>
                </pt>
                <pt idx="83">
                  <v>15</v>
                </pt>
                <pt idx="84">
                  <v>15</v>
                </pt>
                <pt idx="85">
                  <v>15</v>
                </pt>
                <pt idx="86">
                  <v>15</v>
                </pt>
                <pt idx="87">
                  <v>15</v>
                </pt>
                <pt idx="88">
                  <v>15</v>
                </pt>
                <pt idx="89">
                  <v>15</v>
                </pt>
                <pt idx="90">
                  <v>15</v>
                </pt>
                <pt idx="91">
                  <v>15</v>
                </pt>
                <pt idx="92">
                  <v>15</v>
                </pt>
                <pt idx="93">
                  <v>15</v>
                </pt>
                <pt idx="94">
                  <v>15</v>
                </pt>
                <pt idx="95">
                  <v>15</v>
                </pt>
                <pt idx="96">
                  <v>15</v>
                </pt>
                <pt idx="97">
                  <v>15</v>
                </pt>
                <pt idx="98">
                  <v>15</v>
                </pt>
                <pt idx="99">
                  <v>15</v>
                </pt>
                <pt idx="100">
                  <v>15</v>
                </pt>
                <pt idx="101">
                  <v>15</v>
                </pt>
                <pt idx="102">
                  <v>15</v>
                </pt>
                <pt idx="103">
                  <v>15</v>
                </pt>
                <pt idx="104">
                  <v>15</v>
                </pt>
                <pt idx="105">
                  <v>15</v>
                </pt>
                <pt idx="106">
                  <v>15</v>
                </pt>
                <pt idx="107">
                  <v>5</v>
                </pt>
                <pt idx="108">
                  <v>5</v>
                </pt>
                <pt idx="109">
                  <v>5</v>
                </pt>
                <pt idx="110">
                  <v>5</v>
                </pt>
                <pt idx="111">
                  <v>5</v>
                </pt>
                <pt idx="112">
                  <v>5</v>
                </pt>
                <pt idx="113">
                  <v>5</v>
                </pt>
                <pt idx="114">
                  <v>5</v>
                </pt>
                <pt idx="115">
                  <v>5</v>
                </pt>
                <pt idx="116">
                  <v>5</v>
                </pt>
                <pt idx="117">
                  <v>5</v>
                </pt>
                <pt idx="118">
                  <v>5</v>
                </pt>
                <pt idx="119">
                  <v>5</v>
                </pt>
                <pt idx="120">
                  <v>5</v>
                </pt>
                <pt idx="121">
                  <v>5</v>
                </pt>
                <pt idx="122">
                  <v>5</v>
                </pt>
                <pt idx="123">
                  <v>5</v>
                </pt>
                <pt idx="124">
                  <v>5</v>
                </pt>
                <pt idx="125">
                  <v>5</v>
                </pt>
                <pt idx="126">
                  <v>5</v>
                </pt>
                <pt idx="127">
                  <v>5</v>
                </pt>
                <pt idx="128">
                  <v>5</v>
                </pt>
                <pt idx="129">
                  <v>5</v>
                </pt>
                <pt idx="130">
                  <v>5</v>
                </pt>
                <pt idx="131">
                  <v>5</v>
                </pt>
                <pt idx="132">
                  <v>5</v>
                </pt>
                <pt idx="133">
                  <v>5</v>
                </pt>
                <pt idx="134">
                  <v>5</v>
                </pt>
                <pt idx="135">
                  <v>5</v>
                </pt>
                <pt idx="136">
                  <v>5</v>
                </pt>
                <pt idx="137">
                  <v>5</v>
                </pt>
                <pt idx="138">
                  <v>5</v>
                </pt>
                <pt idx="139">
                  <v>5</v>
                </pt>
                <pt idx="140">
                  <v>5</v>
                </pt>
                <pt idx="141">
                  <v>5</v>
                </pt>
                <pt idx="142">
                  <v>5</v>
                </pt>
                <pt idx="143">
                  <v>5</v>
                </pt>
                <pt idx="144">
                  <v>5</v>
                </pt>
                <pt idx="145">
                  <v>5</v>
                </pt>
                <pt idx="146">
                  <v>5</v>
                </pt>
                <pt idx="147">
                  <v>5</v>
                </pt>
                <pt idx="148">
                  <v>5</v>
                </pt>
                <pt idx="149">
                  <v>5</v>
                </pt>
                <pt idx="150">
                  <v>5</v>
                </pt>
                <pt idx="151">
                  <v>5</v>
                </pt>
                <pt idx="152">
                  <v>5</v>
                </pt>
                <pt idx="153">
                  <v>5</v>
                </pt>
                <pt idx="154">
                  <v>5</v>
                </pt>
                <pt idx="155">
                  <v>5</v>
                </pt>
                <pt idx="156">
                  <v>5</v>
                </pt>
                <pt idx="157">
                  <v>5</v>
                </pt>
                <pt idx="158">
                  <v>5</v>
                </pt>
                <pt idx="159">
                  <v>5</v>
                </pt>
                <pt idx="160">
                  <v>15</v>
                </pt>
                <pt idx="161">
                  <v>15</v>
                </pt>
                <pt idx="162">
                  <v>15</v>
                </pt>
                <pt idx="163">
                  <v>15</v>
                </pt>
                <pt idx="164">
                  <v>15</v>
                </pt>
                <pt idx="165">
                  <v>15</v>
                </pt>
                <pt idx="166">
                  <v>15</v>
                </pt>
                <pt idx="167">
                  <v>15</v>
                </pt>
                <pt idx="168">
                  <v>15</v>
                </pt>
                <pt idx="169">
                  <v>15</v>
                </pt>
                <pt idx="170">
                  <v>15</v>
                </pt>
                <pt idx="171">
                  <v>15</v>
                </pt>
                <pt idx="172">
                  <v>15</v>
                </pt>
                <pt idx="173">
                  <v>15</v>
                </pt>
                <pt idx="174">
                  <v>15</v>
                </pt>
                <pt idx="175">
                  <v>15</v>
                </pt>
                <pt idx="176">
                  <v>15</v>
                </pt>
                <pt idx="177">
                  <v>15</v>
                </pt>
                <pt idx="178">
                  <v>15</v>
                </pt>
                <pt idx="179">
                  <v>15</v>
                </pt>
                <pt idx="180">
                  <v>15</v>
                </pt>
                <pt idx="181">
                  <v>15</v>
                </pt>
                <pt idx="182">
                  <v>15</v>
                </pt>
                <pt idx="183">
                  <v>15</v>
                </pt>
                <pt idx="184">
                  <v>15</v>
                </pt>
                <pt idx="185">
                  <v>15</v>
                </pt>
                <pt idx="186">
                  <v>15</v>
                </pt>
                <pt idx="187">
                  <v>5</v>
                </pt>
                <pt idx="188">
                  <v>5</v>
                </pt>
                <pt idx="189">
                  <v>5</v>
                </pt>
                <pt idx="190">
                  <v>5</v>
                </pt>
                <pt idx="191">
                  <v>5</v>
                </pt>
                <pt idx="192">
                  <v>5</v>
                </pt>
                <pt idx="193">
                  <v>5</v>
                </pt>
                <pt idx="194">
                  <v>5</v>
                </pt>
                <pt idx="195">
                  <v>5</v>
                </pt>
                <pt idx="196">
                  <v>5</v>
                </pt>
                <pt idx="197">
                  <v>5</v>
                </pt>
                <pt idx="198">
                  <v>5</v>
                </pt>
                <pt idx="199">
                  <v>5</v>
                </pt>
                <pt idx="200">
                  <v>5</v>
                </pt>
                <pt idx="201">
                  <v>5</v>
                </pt>
                <pt idx="202">
                  <v>5</v>
                </pt>
                <pt idx="203">
                  <v>5</v>
                </pt>
                <pt idx="204">
                  <v>5</v>
                </pt>
                <pt idx="205">
                  <v>5</v>
                </pt>
                <pt idx="206">
                  <v>5</v>
                </pt>
                <pt idx="207">
                  <v>5</v>
                </pt>
                <pt idx="208">
                  <v>5</v>
                </pt>
                <pt idx="209">
                  <v>5</v>
                </pt>
                <pt idx="210">
                  <v>5</v>
                </pt>
                <pt idx="211">
                  <v>5</v>
                </pt>
                <pt idx="212">
                  <v>5</v>
                </pt>
                <pt idx="213">
                  <v>5</v>
                </pt>
                <pt idx="214">
                  <v>5</v>
                </pt>
                <pt idx="215">
                  <v>5</v>
                </pt>
                <pt idx="216">
                  <v>5</v>
                </pt>
                <pt idx="217">
                  <v>5</v>
                </pt>
                <pt idx="218">
                  <v>5</v>
                </pt>
                <pt idx="219">
                  <v>5</v>
                </pt>
                <pt idx="220">
                  <v>5</v>
                </pt>
                <pt idx="221">
                  <v>5</v>
                </pt>
                <pt idx="222">
                  <v>5</v>
                </pt>
                <pt idx="223">
                  <v>5</v>
                </pt>
                <pt idx="224">
                  <v>5</v>
                </pt>
                <pt idx="225">
                  <v>5</v>
                </pt>
                <pt idx="226">
                  <v>5</v>
                </pt>
                <pt idx="227">
                  <v>5</v>
                </pt>
                <pt idx="228">
                  <v>5</v>
                </pt>
                <pt idx="229">
                  <v>5</v>
                </pt>
                <pt idx="230">
                  <v>5</v>
                </pt>
                <pt idx="231">
                  <v>5</v>
                </pt>
                <pt idx="232">
                  <v>5</v>
                </pt>
                <pt idx="233">
                  <v>5</v>
                </pt>
                <pt idx="234">
                  <v>5</v>
                </pt>
                <pt idx="235">
                  <v>5</v>
                </pt>
                <pt idx="236">
                  <v>5</v>
                </pt>
                <pt idx="237">
                  <v>5</v>
                </pt>
                <pt idx="238">
                  <v>5</v>
                </pt>
                <pt idx="239">
                  <v>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Flow-Time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VCV!$D$30</f>
              <strCache>
                <ptCount val="1"/>
                <pt idx="0">
                  <v>Flow (L/min)</v>
                </pt>
              </strCache>
            </strRef>
          </tx>
          <spPr>
            <a:ln xmlns:a="http://schemas.openxmlformats.org/drawingml/2006/main" w="22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VCV!$D$31:$D$270</f>
              <numCache>
                <formatCode>0.000</formatCode>
                <ptCount val="240"/>
                <pt idx="0">
                  <v>30</v>
                </pt>
                <pt idx="1">
                  <v>30</v>
                </pt>
                <pt idx="2">
                  <v>30</v>
                </pt>
                <pt idx="3">
                  <v>30</v>
                </pt>
                <pt idx="4">
                  <v>30</v>
                </pt>
                <pt idx="5">
                  <v>30</v>
                </pt>
                <pt idx="6">
                  <v>30</v>
                </pt>
                <pt idx="7">
                  <v>30</v>
                </pt>
                <pt idx="8">
                  <v>30</v>
                </pt>
                <pt idx="9">
                  <v>30</v>
                </pt>
                <pt idx="10">
                  <v>30</v>
                </pt>
                <pt idx="11">
                  <v>30</v>
                </pt>
                <pt idx="12">
                  <v>30</v>
                </pt>
                <pt idx="13">
                  <v>30</v>
                </pt>
                <pt idx="14">
                  <v>30</v>
                </pt>
                <pt idx="15">
                  <v>30</v>
                </pt>
                <pt idx="16">
                  <v>30</v>
                </pt>
                <pt idx="17">
                  <v>30</v>
                </pt>
                <pt idx="18">
                  <v>30</v>
                </pt>
                <pt idx="19">
                  <v>30</v>
                </pt>
                <pt idx="20">
                  <v>30</v>
                </pt>
                <pt idx="21">
                  <v>30</v>
                </pt>
                <pt idx="22">
                  <v>30</v>
                </pt>
                <pt idx="23">
                  <v>30</v>
                </pt>
                <pt idx="24">
                  <v>30</v>
                </pt>
                <pt idx="25">
                  <v>30</v>
                </pt>
                <pt idx="26">
                  <v>30</v>
                </pt>
                <pt idx="27">
                  <v>-90.40939522408787</v>
                </pt>
                <pt idx="28">
                  <v>-81.80580374075632</v>
                </pt>
                <pt idx="29">
                  <v>-74.0209522371424</v>
                </pt>
                <pt idx="30">
                  <v>-66.97692730281899</v>
                </pt>
                <pt idx="31">
                  <v>-60.60322996866489</v>
                </pt>
                <pt idx="32">
                  <v>-54.83607012948623</v>
                </pt>
                <pt idx="33">
                  <v>-49.61772811120315</v>
                </pt>
                <pt idx="34">
                  <v>-44.8959769929513</v>
                </pt>
                <pt idx="35">
                  <v>-40.6235599025039</v>
                </pt>
                <pt idx="36">
                  <v>-36.75771705361076</v>
                </pt>
                <pt idx="37">
                  <v>-33.25975779168551</v>
                </pt>
                <pt idx="38">
                  <v>-30.09467336473012</v>
                </pt>
                <pt idx="39">
                  <v>-27.23078654397796</v>
                </pt>
                <pt idx="40">
                  <v>-24.63943458754137</v>
                </pt>
                <pt idx="41">
                  <v>-22.29468237405686</v>
                </pt>
                <pt idx="42">
                  <v>-20.17306283527341</v>
                </pt>
                <pt idx="43">
                  <v>-18.25334208974598</v>
                </pt>
                <pt idx="44">
                  <v>-16.51630692701285</v>
                </pt>
                <pt idx="45">
                  <v>-14.94457251532775</v>
                </pt>
                <pt idx="46">
                  <v>-13.52240840842033</v>
                </pt>
                <pt idx="47">
                  <v>-12.23558110990279</v>
                </pt>
                <pt idx="48">
                  <v>-11.07121161965401</v>
                </pt>
                <pt idx="49">
                  <v>-10.01764653645744</v>
                </pt>
                <pt idx="50">
                  <v>-9.064341426845026</v>
                </pt>
                <pt idx="51">
                  <v>-8.201755292862842</v>
                </pt>
                <pt idx="52">
                  <v>-7.421255082556776</v>
                </pt>
                <pt idx="53">
                  <v>-6.715029287486917</v>
                </pt>
                <pt idx="54">
                  <v>-6.076009762525509</v>
                </pt>
                <pt idx="55">
                  <v>-5.497800985484867</v>
                </pt>
                <pt idx="56">
                  <v>-4.974616048581683</v>
                </pt>
                <pt idx="57">
                  <v>-4.501218741118896</v>
                </pt>
                <pt idx="58">
                  <v>-4.072871143729095</v>
                </pt>
                <pt idx="59">
                  <v>-3.685286209684997</v>
                </pt>
                <pt idx="60">
                  <v>-3.334584858694902</v>
                </pt>
                <pt idx="61">
                  <v>-3.017257153763302</v>
                </pt>
                <pt idx="62">
                  <v>-2.730127172561712</v>
                </pt>
                <pt idx="63">
                  <v>-2.470321221730556</v>
                </pt>
                <pt idx="64">
                  <v>-2.235239075990112</v>
                </pt>
                <pt idx="65">
                  <v>-2.022527954211978</v>
                </pt>
                <pt idx="66">
                  <v>-1.830058971994718</v>
                </pt>
                <pt idx="67">
                  <v>-1.655905835073241</v>
                </pt>
                <pt idx="68">
                  <v>-1.498325560318352</v>
                </pt>
                <pt idx="69">
                  <v>-1.355741031375741</v>
                </pt>
                <pt idx="70">
                  <v>-1.226725214355434</v>
                </pt>
                <pt idx="71">
                  <v>-1.109986875596981</v>
                </pt>
                <pt idx="72">
                  <v>-1.004357658568972</v>
                </pt>
                <pt idx="73">
                  <v>-0.908780390564191</v>
                </pt>
                <pt idx="74">
                  <v>-0.8222985021598138</v>
                </pt>
                <pt idx="75">
                  <v>-0.7440464535491231</v>
                </pt>
                <pt idx="76">
                  <v>-0.6732410719282014</v>
                </pt>
                <pt idx="77">
                  <v>-0.6091737132392746</v>
                </pt>
                <pt idx="78">
                  <v>-0.5512031698228035</v>
                </pt>
                <pt idx="79">
                  <v>-0.4987492529957022</v>
                </pt>
                <pt idx="80">
                  <v>30</v>
                </pt>
                <pt idx="81">
                  <v>30</v>
                </pt>
                <pt idx="82">
                  <v>30</v>
                </pt>
                <pt idx="83">
                  <v>30</v>
                </pt>
                <pt idx="84">
                  <v>30</v>
                </pt>
                <pt idx="85">
                  <v>30</v>
                </pt>
                <pt idx="86">
                  <v>30</v>
                </pt>
                <pt idx="87">
                  <v>30</v>
                </pt>
                <pt idx="88">
                  <v>30</v>
                </pt>
                <pt idx="89">
                  <v>30</v>
                </pt>
                <pt idx="90">
                  <v>30</v>
                </pt>
                <pt idx="91">
                  <v>30</v>
                </pt>
                <pt idx="92">
                  <v>30</v>
                </pt>
                <pt idx="93">
                  <v>30</v>
                </pt>
                <pt idx="94">
                  <v>30</v>
                </pt>
                <pt idx="95">
                  <v>30</v>
                </pt>
                <pt idx="96">
                  <v>30</v>
                </pt>
                <pt idx="97">
                  <v>30</v>
                </pt>
                <pt idx="98">
                  <v>30</v>
                </pt>
                <pt idx="99">
                  <v>30</v>
                </pt>
                <pt idx="100">
                  <v>30</v>
                </pt>
                <pt idx="101">
                  <v>30</v>
                </pt>
                <pt idx="102">
                  <v>30</v>
                </pt>
                <pt idx="103">
                  <v>30</v>
                </pt>
                <pt idx="104">
                  <v>30</v>
                </pt>
                <pt idx="105">
                  <v>30</v>
                </pt>
                <pt idx="106">
                  <v>30</v>
                </pt>
                <pt idx="107">
                  <v>-90.40939522408794</v>
                </pt>
                <pt idx="108">
                  <v>-81.80580374075625</v>
                </pt>
                <pt idx="109">
                  <v>-74.02095223714235</v>
                </pt>
                <pt idx="110">
                  <v>-66.97692730281899</v>
                </pt>
                <pt idx="111">
                  <v>-60.60322996866493</v>
                </pt>
                <pt idx="112">
                  <v>-54.83607012948627</v>
                </pt>
                <pt idx="113">
                  <v>-49.6177281112031</v>
                </pt>
                <pt idx="114">
                  <v>-44.89597699295128</v>
                </pt>
                <pt idx="115">
                  <v>-40.6235599025039</v>
                </pt>
                <pt idx="116">
                  <v>-36.75771705361078</v>
                </pt>
                <pt idx="117">
                  <v>-33.25975779168554</v>
                </pt>
                <pt idx="118">
                  <v>-30.09467336473009</v>
                </pt>
                <pt idx="119">
                  <v>-27.23078654397795</v>
                </pt>
                <pt idx="120">
                  <v>-24.63943458754137</v>
                </pt>
                <pt idx="121">
                  <v>-22.29468237405686</v>
                </pt>
                <pt idx="122">
                  <v>-20.17306283527343</v>
                </pt>
                <pt idx="123">
                  <v>-18.25334208974596</v>
                </pt>
                <pt idx="124">
                  <v>-16.51630692701285</v>
                </pt>
                <pt idx="125">
                  <v>-14.94457251532775</v>
                </pt>
                <pt idx="126">
                  <v>-13.52240840842033</v>
                </pt>
                <pt idx="127">
                  <v>-12.2355811099028</v>
                </pt>
                <pt idx="128">
                  <v>-11.071211619654</v>
                </pt>
                <pt idx="129">
                  <v>-10.01764653645744</v>
                </pt>
                <pt idx="130">
                  <v>-9.064341426845026</v>
                </pt>
                <pt idx="131">
                  <v>-8.201755292862842</v>
                </pt>
                <pt idx="132">
                  <v>-7.421255082556782</v>
                </pt>
                <pt idx="133">
                  <v>-6.715029287486912</v>
                </pt>
                <pt idx="134">
                  <v>-6.076009762525509</v>
                </pt>
                <pt idx="135">
                  <v>-5.497800985484867</v>
                </pt>
                <pt idx="136">
                  <v>-4.974616048581683</v>
                </pt>
                <pt idx="137">
                  <v>-4.501218741118898</v>
                </pt>
                <pt idx="138">
                  <v>-4.072871143729091</v>
                </pt>
                <pt idx="139">
                  <v>-3.685286209684997</v>
                </pt>
                <pt idx="140">
                  <v>-3.334584858694902</v>
                </pt>
                <pt idx="141">
                  <v>-3.017257153763302</v>
                </pt>
                <pt idx="142">
                  <v>-2.730127172561716</v>
                </pt>
                <pt idx="143">
                  <v>-2.470321221730553</v>
                </pt>
                <pt idx="144">
                  <v>-2.235239075990112</v>
                </pt>
                <pt idx="145">
                  <v>-2.022527954211978</v>
                </pt>
                <pt idx="146">
                  <v>-1.830058971994718</v>
                </pt>
                <pt idx="147">
                  <v>-1.655905835073245</v>
                </pt>
                <pt idx="148">
                  <v>-1.498325560318352</v>
                </pt>
                <pt idx="149">
                  <v>-1.355741031375741</v>
                </pt>
                <pt idx="150">
                  <v>-1.226725214355434</v>
                </pt>
                <pt idx="151">
                  <v>-1.109986875596981</v>
                </pt>
                <pt idx="152">
                  <v>-1.004357658568974</v>
                </pt>
                <pt idx="153">
                  <v>-0.908780390564191</v>
                </pt>
                <pt idx="154">
                  <v>-0.8222985021598138</v>
                </pt>
                <pt idx="155">
                  <v>-0.7440464535491231</v>
                </pt>
                <pt idx="156">
                  <v>-0.6732410719282014</v>
                </pt>
                <pt idx="157">
                  <v>-0.6091737132392756</v>
                </pt>
                <pt idx="158">
                  <v>-0.5512031698228035</v>
                </pt>
                <pt idx="159">
                  <v>-0.4987492529957022</v>
                </pt>
                <pt idx="160">
                  <v>30</v>
                </pt>
                <pt idx="161">
                  <v>30</v>
                </pt>
                <pt idx="162">
                  <v>30</v>
                </pt>
                <pt idx="163">
                  <v>30</v>
                </pt>
                <pt idx="164">
                  <v>30</v>
                </pt>
                <pt idx="165">
                  <v>30</v>
                </pt>
                <pt idx="166">
                  <v>30</v>
                </pt>
                <pt idx="167">
                  <v>30</v>
                </pt>
                <pt idx="168">
                  <v>30</v>
                </pt>
                <pt idx="169">
                  <v>30</v>
                </pt>
                <pt idx="170">
                  <v>30</v>
                </pt>
                <pt idx="171">
                  <v>30</v>
                </pt>
                <pt idx="172">
                  <v>30</v>
                </pt>
                <pt idx="173">
                  <v>30</v>
                </pt>
                <pt idx="174">
                  <v>30</v>
                </pt>
                <pt idx="175">
                  <v>30</v>
                </pt>
                <pt idx="176">
                  <v>30</v>
                </pt>
                <pt idx="177">
                  <v>30</v>
                </pt>
                <pt idx="178">
                  <v>30</v>
                </pt>
                <pt idx="179">
                  <v>30</v>
                </pt>
                <pt idx="180">
                  <v>30</v>
                </pt>
                <pt idx="181">
                  <v>30</v>
                </pt>
                <pt idx="182">
                  <v>30</v>
                </pt>
                <pt idx="183">
                  <v>30</v>
                </pt>
                <pt idx="184">
                  <v>30</v>
                </pt>
                <pt idx="185">
                  <v>30</v>
                </pt>
                <pt idx="186">
                  <v>30</v>
                </pt>
                <pt idx="187">
                  <v>-90.40939522408794</v>
                </pt>
                <pt idx="188">
                  <v>-81.80580374075625</v>
                </pt>
                <pt idx="189">
                  <v>-74.02095223714248</v>
                </pt>
                <pt idx="190">
                  <v>-66.97692730281899</v>
                </pt>
                <pt idx="191">
                  <v>-60.60322996866483</v>
                </pt>
                <pt idx="192">
                  <v>-54.83607012948627</v>
                </pt>
                <pt idx="193">
                  <v>-49.6177281112031</v>
                </pt>
                <pt idx="194">
                  <v>-44.89597699295136</v>
                </pt>
                <pt idx="195">
                  <v>-40.6235599025039</v>
                </pt>
                <pt idx="196">
                  <v>-36.75771705361071</v>
                </pt>
                <pt idx="197">
                  <v>-33.25975779168554</v>
                </pt>
                <pt idx="198">
                  <v>-30.09467336473009</v>
                </pt>
                <pt idx="199">
                  <v>-27.230786543978</v>
                </pt>
                <pt idx="200">
                  <v>-24.63943458754137</v>
                </pt>
                <pt idx="201">
                  <v>-22.29468237405682</v>
                </pt>
                <pt idx="202">
                  <v>-20.17306283527343</v>
                </pt>
                <pt idx="203">
                  <v>-18.25334208974596</v>
                </pt>
                <pt idx="204">
                  <v>-16.51630692701287</v>
                </pt>
                <pt idx="205">
                  <v>-14.94457251532775</v>
                </pt>
                <pt idx="206">
                  <v>-13.5224084084203</v>
                </pt>
                <pt idx="207">
                  <v>-12.2355811099028</v>
                </pt>
                <pt idx="208">
                  <v>-11.071211619654</v>
                </pt>
                <pt idx="209">
                  <v>-10.01764653645746</v>
                </pt>
                <pt idx="210">
                  <v>-9.064341426845026</v>
                </pt>
                <pt idx="211">
                  <v>-8.201755292862828</v>
                </pt>
                <pt idx="212">
                  <v>-7.421255082556782</v>
                </pt>
                <pt idx="213">
                  <v>-6.715029287486912</v>
                </pt>
                <pt idx="214">
                  <v>-6.076009762525518</v>
                </pt>
                <pt idx="215">
                  <v>-5.497800985484867</v>
                </pt>
                <pt idx="216">
                  <v>-4.974616048581673</v>
                </pt>
                <pt idx="217">
                  <v>-4.501218741118898</v>
                </pt>
                <pt idx="218">
                  <v>-4.072871143729091</v>
                </pt>
                <pt idx="219">
                  <v>-3.685286209685004</v>
                </pt>
                <pt idx="220">
                  <v>-3.334584858694902</v>
                </pt>
                <pt idx="221">
                  <v>-3.017257153763296</v>
                </pt>
                <pt idx="222">
                  <v>-2.730127172561716</v>
                </pt>
                <pt idx="223">
                  <v>-2.470321221730553</v>
                </pt>
                <pt idx="224">
                  <v>-2.235239075990116</v>
                </pt>
                <pt idx="225">
                  <v>-2.022527954211978</v>
                </pt>
                <pt idx="226">
                  <v>-1.830058971994714</v>
                </pt>
                <pt idx="227">
                  <v>-1.655905835073245</v>
                </pt>
                <pt idx="228">
                  <v>-1.498325560318352</v>
                </pt>
                <pt idx="229">
                  <v>-1.355741031375743</v>
                </pt>
                <pt idx="230">
                  <v>-1.226725214355434</v>
                </pt>
                <pt idx="231">
                  <v>-1.109986875596978</v>
                </pt>
                <pt idx="232">
                  <v>-1.004357658568974</v>
                </pt>
                <pt idx="233">
                  <v>-0.908780390564191</v>
                </pt>
                <pt idx="234">
                  <v>-0.8222985021598153</v>
                </pt>
                <pt idx="235">
                  <v>-0.7440464535491231</v>
                </pt>
                <pt idx="236">
                  <v>-0.6732410719282002</v>
                </pt>
                <pt idx="237">
                  <v>-0.6091737132392756</v>
                </pt>
                <pt idx="238">
                  <v>-0.5512031698228035</v>
                </pt>
                <pt idx="239">
                  <v>-0.4987492529957032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Flow (L/min)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0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Flow-Time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PSV!$D$28</f>
              <strCache>
                <ptCount val="1"/>
                <pt idx="0">
                  <v>Flow (L/min)</v>
                </pt>
              </strCache>
            </strRef>
          </tx>
          <spPr>
            <a:ln xmlns:a="http://schemas.openxmlformats.org/drawingml/2006/main" w="22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PSV!$D$29:$D$268</f>
              <numCache>
                <formatCode>0.000</formatCode>
                <ptCount val="240"/>
                <pt idx="0">
                  <v>180</v>
                </pt>
                <pt idx="1">
                  <v>147.3715355540367</v>
                </pt>
                <pt idx="2">
                  <v>120.6576082864151</v>
                </pt>
                <pt idx="3">
                  <v>98.78609449692475</v>
                </pt>
                <pt idx="4">
                  <v>80.87921354109989</v>
                </pt>
                <pt idx="5">
                  <v>66.21829941085961</v>
                </pt>
                <pt idx="6">
                  <v>54.21495814419638</v>
                </pt>
                <pt idx="7">
                  <v>44.38745350948917</v>
                </pt>
                <pt idx="8">
                  <v>36.34137323903797</v>
                </pt>
                <pt idx="9">
                  <v>29.75379987988557</v>
                </pt>
                <pt idx="10">
                  <v>24.36035098259029</v>
                </pt>
                <pt idx="11">
                  <v>19.94456850522009</v>
                </pt>
                <pt idx="12">
                  <v>16.32923159209425</v>
                </pt>
                <pt idx="13">
                  <v>13.3692440785801</v>
                </pt>
                <pt idx="14">
                  <v>10.94581127253923</v>
                </pt>
                <pt idx="15">
                  <v>8.96167230621551</v>
                </pt>
                <pt idx="16">
                  <v>7.337196716105917</v>
                </pt>
                <pt idx="17">
                  <v>6.007188592858695</v>
                </pt>
                <pt idx="18">
                  <v>4.91827004051266</v>
                </pt>
                <pt idx="19">
                  <v>4.026738934109809</v>
                </pt>
                <pt idx="20">
                  <v>3.296814999972152</v>
                </pt>
                <pt idx="21">
                  <v>2.699203827685987</v>
                </pt>
                <pt idx="22">
                  <v>2.209921182552318</v>
                </pt>
                <pt idx="23">
                  <v>1.809330434034045</v>
                </pt>
                <pt idx="24">
                  <v>1.481354468823605</v>
                </pt>
                <pt idx="25">
                  <v>1.212830459835384</v>
                </pt>
                <pt idx="26">
                  <v>0.9929815957369389</v>
                </pt>
                <pt idx="27">
                  <v>-158.832694039418</v>
                </pt>
                <pt idx="28">
                  <v>-130.0412112042975</v>
                </pt>
                <pt idx="29">
                  <v>-106.4687387804674</v>
                </pt>
                <pt idx="30">
                  <v>-87.16923068099499</v>
                </pt>
                <pt idx="31">
                  <v>-71.36812988067932</v>
                </pt>
                <pt idx="32">
                  <v>-58.43128272297579</v>
                </pt>
                <pt idx="33">
                  <v>-47.83948810709448</v>
                </pt>
                <pt idx="34">
                  <v>-39.16766012478661</v>
                </pt>
                <pt idx="35">
                  <v>-32.06776787026897</v>
                </pt>
                <pt idx="36">
                  <v>-26.25486773795523</v>
                </pt>
                <pt idx="37">
                  <v>-21.49566763505889</v>
                </pt>
                <pt idx="38">
                  <v>-17.59916415076578</v>
                </pt>
                <pt idx="39">
                  <v>-14.40897691869948</v>
                </pt>
                <pt idx="40">
                  <v>-11.79707252373009</v>
                </pt>
                <pt idx="41">
                  <v>-9.658626071469106</v>
                </pt>
                <pt idx="42">
                  <v>-7.907814197192522</v>
                </pt>
                <pt idx="43">
                  <v>-6.474370672868195</v>
                </pt>
                <pt idx="44">
                  <v>-5.300766376703372</v>
                </pt>
                <pt idx="45">
                  <v>-4.3399004474888</v>
                </pt>
                <pt idx="46">
                  <v>-3.553209961655978</v>
                </pt>
                <pt idx="47">
                  <v>-2.909122267750783</v>
                </pt>
                <pt idx="48">
                  <v>-2.381787865071527</v>
                </pt>
                <pt idx="49">
                  <v>-1.950042972442007</v>
                </pt>
                <pt idx="50">
                  <v>-1.596560151361872</v>
                </pt>
                <pt idx="51">
                  <v>-1.307152895058803</v>
                </pt>
                <pt idx="52">
                  <v>-1.070206274159557</v>
                </pt>
                <pt idx="53">
                  <v>-0.8762107887914359</v>
                </pt>
                <pt idx="54">
                  <v>-0.7173807189622641</v>
                </pt>
                <pt idx="55">
                  <v>-0.5873416562795989</v>
                </pt>
                <pt idx="56">
                  <v>-0.4808746765598655</v>
                </pt>
                <pt idx="57">
                  <v>-0.3937068860759893</v>
                </pt>
                <pt idx="58">
                  <v>-0.3223399353289821</v>
                </pt>
                <pt idx="59">
                  <v>-0.2639096179990053</v>
                </pt>
                <pt idx="60">
                  <v>-0.2160709202888482</v>
                </pt>
                <pt idx="61">
                  <v>-0.1769039072863414</v>
                </pt>
                <pt idx="62">
                  <v>-0.1448366692349836</v>
                </pt>
                <pt idx="63">
                  <v>-0.1185822352760648</v>
                </pt>
                <pt idx="64">
                  <v>-0.09708692278924286</v>
                </pt>
                <pt idx="65">
                  <v>-0.07948804940926074</v>
                </pt>
                <pt idx="66">
                  <v>-0.06507931055354392</v>
                </pt>
                <pt idx="67">
                  <v>-0.05328243293929876</v>
                </pt>
                <pt idx="68">
                  <v>-0.04362396644621917</v>
                </pt>
                <pt idx="69">
                  <v>-0.03571628290076165</v>
                </pt>
                <pt idx="70">
                  <v>-0.02924201919648687</v>
                </pt>
                <pt idx="71">
                  <v>-0.02394134039826051</v>
                </pt>
                <pt idx="72">
                  <v>-0.01960151165396408</v>
                </pt>
                <pt idx="73">
                  <v>-0.01604836039791686</v>
                </pt>
                <pt idx="74">
                  <v>-0.01313928619425334</v>
                </pt>
                <pt idx="75">
                  <v>-0.01075753768072818</v>
                </pt>
                <pt idx="76">
                  <v>-0.008807526926607353</v>
                </pt>
                <pt idx="77">
                  <v>-0.00721099315337582</v>
                </pt>
                <pt idx="78">
                  <v>-0.005903861854903561</v>
                </pt>
                <pt idx="79">
                  <v>-0.004833673262533567</v>
                </pt>
                <pt idx="80">
                  <v>180</v>
                </pt>
                <pt idx="81">
                  <v>147.3715355540369</v>
                </pt>
                <pt idx="82">
                  <v>120.6576082864152</v>
                </pt>
                <pt idx="83">
                  <v>98.7860944969246</v>
                </pt>
                <pt idx="84">
                  <v>80.87921354109983</v>
                </pt>
                <pt idx="85">
                  <v>66.21829941085961</v>
                </pt>
                <pt idx="86">
                  <v>54.21495814419642</v>
                </pt>
                <pt idx="87">
                  <v>44.38745350948923</v>
                </pt>
                <pt idx="88">
                  <v>36.34137323903792</v>
                </pt>
                <pt idx="89">
                  <v>29.75379987988556</v>
                </pt>
                <pt idx="90">
                  <v>24.36035098259029</v>
                </pt>
                <pt idx="91">
                  <v>19.94456850522011</v>
                </pt>
                <pt idx="92">
                  <v>16.32923159209427</v>
                </pt>
                <pt idx="93">
                  <v>13.36924407858008</v>
                </pt>
                <pt idx="94">
                  <v>10.94581127253923</v>
                </pt>
                <pt idx="95">
                  <v>8.96167230621551</v>
                </pt>
                <pt idx="96">
                  <v>7.337196716105924</v>
                </pt>
                <pt idx="97">
                  <v>6.007188592858703</v>
                </pt>
                <pt idx="98">
                  <v>4.918270040512654</v>
                </pt>
                <pt idx="99">
                  <v>4.026738934109805</v>
                </pt>
                <pt idx="100">
                  <v>3.296814999972152</v>
                </pt>
                <pt idx="101">
                  <v>2.699203827685989</v>
                </pt>
                <pt idx="102">
                  <v>2.209921182552323</v>
                </pt>
                <pt idx="103">
                  <v>1.809330434034042</v>
                </pt>
                <pt idx="104">
                  <v>1.481354468823604</v>
                </pt>
                <pt idx="105">
                  <v>1.212830459835384</v>
                </pt>
                <pt idx="106">
                  <v>0.9929815957369399</v>
                </pt>
                <pt idx="107">
                  <v>-158.8326940394184</v>
                </pt>
                <pt idx="108">
                  <v>-130.0412112042973</v>
                </pt>
                <pt idx="109">
                  <v>-106.4687387804673</v>
                </pt>
                <pt idx="110">
                  <v>-87.16923068099499</v>
                </pt>
                <pt idx="111">
                  <v>-71.3681298806794</v>
                </pt>
                <pt idx="112">
                  <v>-58.43128272297589</v>
                </pt>
                <pt idx="113">
                  <v>-47.83948810709439</v>
                </pt>
                <pt idx="114">
                  <v>-39.16766012478658</v>
                </pt>
                <pt idx="115">
                  <v>-32.06776787026897</v>
                </pt>
                <pt idx="116">
                  <v>-26.25486773795525</v>
                </pt>
                <pt idx="117">
                  <v>-21.49566763505893</v>
                </pt>
                <pt idx="118">
                  <v>-17.59916415076575</v>
                </pt>
                <pt idx="119">
                  <v>-14.40897691869947</v>
                </pt>
                <pt idx="120">
                  <v>-11.79707252373009</v>
                </pt>
                <pt idx="121">
                  <v>-9.658626071469106</v>
                </pt>
                <pt idx="122">
                  <v>-7.907814197192537</v>
                </pt>
                <pt idx="123">
                  <v>-6.474370672868184</v>
                </pt>
                <pt idx="124">
                  <v>-5.300766376703372</v>
                </pt>
                <pt idx="125">
                  <v>-4.3399004474888</v>
                </pt>
                <pt idx="126">
                  <v>-3.553209961655978</v>
                </pt>
                <pt idx="127">
                  <v>-2.909122267750788</v>
                </pt>
                <pt idx="128">
                  <v>-2.381787865071523</v>
                </pt>
                <pt idx="129">
                  <v>-1.950042972442007</v>
                </pt>
                <pt idx="130">
                  <v>-1.596560151361872</v>
                </pt>
                <pt idx="131">
                  <v>-1.307152895058803</v>
                </pt>
                <pt idx="132">
                  <v>-1.070206274159559</v>
                </pt>
                <pt idx="133">
                  <v>-0.8762107887914343</v>
                </pt>
                <pt idx="134">
                  <v>-0.7173807189622641</v>
                </pt>
                <pt idx="135">
                  <v>-0.5873416562795989</v>
                </pt>
                <pt idx="136">
                  <v>-0.4808746765598655</v>
                </pt>
                <pt idx="137">
                  <v>-0.39370688607599</v>
                </pt>
                <pt idx="138">
                  <v>-0.3223399353289815</v>
                </pt>
                <pt idx="139">
                  <v>-0.2639096179990053</v>
                </pt>
                <pt idx="140">
                  <v>-0.2160709202888482</v>
                </pt>
                <pt idx="141">
                  <v>-0.1769039072863414</v>
                </pt>
                <pt idx="142">
                  <v>-0.1448366692349839</v>
                </pt>
                <pt idx="143">
                  <v>-0.1185822352760646</v>
                </pt>
                <pt idx="144">
                  <v>-0.09708692278924286</v>
                </pt>
                <pt idx="145">
                  <v>-0.07948804940926074</v>
                </pt>
                <pt idx="146">
                  <v>-0.06507931055354392</v>
                </pt>
                <pt idx="147">
                  <v>-0.05328243293929895</v>
                </pt>
                <pt idx="148">
                  <v>-0.04362396644621917</v>
                </pt>
                <pt idx="149">
                  <v>-0.03571628290076165</v>
                </pt>
                <pt idx="150">
                  <v>-0.02924201919648687</v>
                </pt>
                <pt idx="151">
                  <v>-0.02394134039826051</v>
                </pt>
                <pt idx="152">
                  <v>-0.01960151165396415</v>
                </pt>
                <pt idx="153">
                  <v>-0.01604836039791686</v>
                </pt>
                <pt idx="154">
                  <v>-0.01313928619425334</v>
                </pt>
                <pt idx="155">
                  <v>-0.01075753768072818</v>
                </pt>
                <pt idx="156">
                  <v>-0.008807526926607353</v>
                </pt>
                <pt idx="157">
                  <v>-0.007210993153375846</v>
                </pt>
                <pt idx="158">
                  <v>-0.005903861854903561</v>
                </pt>
                <pt idx="159">
                  <v>-0.004833673262533567</v>
                </pt>
                <pt idx="160">
                  <v>180</v>
                </pt>
                <pt idx="161">
                  <v>147.3715355540363</v>
                </pt>
                <pt idx="162">
                  <v>120.6576082864152</v>
                </pt>
                <pt idx="163">
                  <v>98.7860944969246</v>
                </pt>
                <pt idx="164">
                  <v>80.87921354110011</v>
                </pt>
                <pt idx="165">
                  <v>66.21829941085961</v>
                </pt>
                <pt idx="166">
                  <v>54.21495814419622</v>
                </pt>
                <pt idx="167">
                  <v>44.38745350948923</v>
                </pt>
                <pt idx="168">
                  <v>36.34137323903792</v>
                </pt>
                <pt idx="169">
                  <v>29.75379987988566</v>
                </pt>
                <pt idx="170">
                  <v>24.36035098259029</v>
                </pt>
                <pt idx="171">
                  <v>19.94456850522004</v>
                </pt>
                <pt idx="172">
                  <v>16.32923159209427</v>
                </pt>
                <pt idx="173">
                  <v>13.36924407858008</v>
                </pt>
                <pt idx="174">
                  <v>10.94581127253926</v>
                </pt>
                <pt idx="175">
                  <v>8.96167230621551</v>
                </pt>
                <pt idx="176">
                  <v>7.337196716105898</v>
                </pt>
                <pt idx="177">
                  <v>6.007188592858703</v>
                </pt>
                <pt idx="178">
                  <v>4.918270040512654</v>
                </pt>
                <pt idx="179">
                  <v>4.026738934109819</v>
                </pt>
                <pt idx="180">
                  <v>3.296814999972152</v>
                </pt>
                <pt idx="181">
                  <v>2.69920382768598</v>
                </pt>
                <pt idx="182">
                  <v>2.209921182552323</v>
                </pt>
                <pt idx="183">
                  <v>1.809330434034042</v>
                </pt>
                <pt idx="184">
                  <v>1.481354468823609</v>
                </pt>
                <pt idx="185">
                  <v>1.212830459835384</v>
                </pt>
                <pt idx="186">
                  <v>0.9929815957369361</v>
                </pt>
                <pt idx="187">
                  <v>-158.8326940394184</v>
                </pt>
                <pt idx="188">
                  <v>-130.0412112042973</v>
                </pt>
                <pt idx="189">
                  <v>-106.4687387804677</v>
                </pt>
                <pt idx="190">
                  <v>-87.16923068099499</v>
                </pt>
                <pt idx="191">
                  <v>-71.36812988067913</v>
                </pt>
                <pt idx="192">
                  <v>-58.43128272297589</v>
                </pt>
                <pt idx="193">
                  <v>-47.83948810709439</v>
                </pt>
                <pt idx="194">
                  <v>-39.16766012478671</v>
                </pt>
                <pt idx="195">
                  <v>-32.06776787026897</v>
                </pt>
                <pt idx="196">
                  <v>-26.25486773795516</v>
                </pt>
                <pt idx="197">
                  <v>-21.49566763505893</v>
                </pt>
                <pt idx="198">
                  <v>-17.59916415076575</v>
                </pt>
                <pt idx="199">
                  <v>-14.40897691869952</v>
                </pt>
                <pt idx="200">
                  <v>-11.79707252373009</v>
                </pt>
                <pt idx="201">
                  <v>-9.658626071469071</v>
                </pt>
                <pt idx="202">
                  <v>-7.907814197192537</v>
                </pt>
                <pt idx="203">
                  <v>-6.474370672868184</v>
                </pt>
                <pt idx="204">
                  <v>-5.300766376703391</v>
                </pt>
                <pt idx="205">
                  <v>-4.3399004474888</v>
                </pt>
                <pt idx="206">
                  <v>-3.553209961655966</v>
                </pt>
                <pt idx="207">
                  <v>-2.909122267750788</v>
                </pt>
                <pt idx="208">
                  <v>-2.381787865071523</v>
                </pt>
                <pt idx="209">
                  <v>-1.950042972442015</v>
                </pt>
                <pt idx="210">
                  <v>-1.596560151361872</v>
                </pt>
                <pt idx="211">
                  <v>-1.307152895058799</v>
                </pt>
                <pt idx="212">
                  <v>-1.070206274159559</v>
                </pt>
                <pt idx="213">
                  <v>-0.8762107887914343</v>
                </pt>
                <pt idx="214">
                  <v>-0.7173807189622665</v>
                </pt>
                <pt idx="215">
                  <v>-0.5873416562795989</v>
                </pt>
                <pt idx="216">
                  <v>-0.4808746765598638</v>
                </pt>
                <pt idx="217">
                  <v>-0.39370688607599</v>
                </pt>
                <pt idx="218">
                  <v>-0.3223399353289815</v>
                </pt>
                <pt idx="219">
                  <v>-0.2639096179990062</v>
                </pt>
                <pt idx="220">
                  <v>-0.2160709202888482</v>
                </pt>
                <pt idx="221">
                  <v>-0.1769039072863408</v>
                </pt>
                <pt idx="222">
                  <v>-0.1448366692349839</v>
                </pt>
                <pt idx="223">
                  <v>-0.1185822352760646</v>
                </pt>
                <pt idx="224">
                  <v>-0.0970869227892432</v>
                </pt>
                <pt idx="225">
                  <v>-0.07948804940926074</v>
                </pt>
                <pt idx="226">
                  <v>-0.0650793105535437</v>
                </pt>
                <pt idx="227">
                  <v>-0.05328243293929895</v>
                </pt>
                <pt idx="228">
                  <v>-0.04362396644621917</v>
                </pt>
                <pt idx="229">
                  <v>-0.03571628290076179</v>
                </pt>
                <pt idx="230">
                  <v>-0.02924201919648687</v>
                </pt>
                <pt idx="231">
                  <v>-0.02394134039826043</v>
                </pt>
                <pt idx="232">
                  <v>-0.01960151165396415</v>
                </pt>
                <pt idx="233">
                  <v>-0.01604836039791686</v>
                </pt>
                <pt idx="234">
                  <v>-0.01313928619425339</v>
                </pt>
                <pt idx="235">
                  <v>-0.01075753768072818</v>
                </pt>
                <pt idx="236">
                  <v>-0.00880752692660732</v>
                </pt>
                <pt idx="237">
                  <v>-0.007210993153375846</v>
                </pt>
                <pt idx="238">
                  <v>-0.005903861854903561</v>
                </pt>
                <pt idx="239">
                  <v>-0.004833673262533584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Flow (L/min)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Volume-Time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PSV!$E$28</f>
              <strCache>
                <ptCount val="1"/>
                <pt idx="0">
                  <v>Volume (mL)</v>
                </pt>
              </strCache>
            </strRef>
          </tx>
          <spPr>
            <a:ln xmlns:a="http://schemas.openxmlformats.org/drawingml/2006/main" w="22000">
              <a:solidFill>
                <a:srgbClr val="7030A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PSV!$E$29:$E$268</f>
              <numCache>
                <formatCode>0.0</formatCode>
                <ptCount val="240"/>
                <pt idx="0">
                  <v>0</v>
                </pt>
                <pt idx="1">
                  <v>135.9519351915136</v>
                </pt>
                <pt idx="2">
                  <v>247.2599654732705</v>
                </pt>
                <pt idx="3">
                  <v>338.3912729294802</v>
                </pt>
                <pt idx="4">
                  <v>413.0032769120838</v>
                </pt>
                <pt idx="5">
                  <v>474.0904191214182</v>
                </pt>
                <pt idx="6">
                  <v>524.1043410658483</v>
                </pt>
                <pt idx="7">
                  <v>565.0522770437951</v>
                </pt>
                <pt idx="8">
                  <v>598.5776115040085</v>
                </pt>
                <pt idx="9">
                  <v>626.02583383381</v>
                </pt>
                <pt idx="10">
                  <v>648.4985375725405</v>
                </pt>
                <pt idx="11">
                  <v>666.8976312282496</v>
                </pt>
                <pt idx="12">
                  <v>681.9615350329407</v>
                </pt>
                <pt idx="13">
                  <v>694.2948163392496</v>
                </pt>
                <pt idx="14">
                  <v>704.3924530310866</v>
                </pt>
                <pt idx="15">
                  <v>712.6596987241021</v>
                </pt>
                <pt idx="16">
                  <v>719.4283470162254</v>
                </pt>
                <pt idx="17">
                  <v>724.9700475297554</v>
                </pt>
                <pt idx="18">
                  <v>729.5072081645307</v>
                </pt>
                <pt idx="19">
                  <v>733.2219211078758</v>
                </pt>
                <pt idx="20">
                  <v>736.2632708334494</v>
                </pt>
                <pt idx="21">
                  <v>738.7533173846417</v>
                </pt>
                <pt idx="22">
                  <v>740.7919950726987</v>
                </pt>
                <pt idx="23">
                  <v>742.4611231915248</v>
                </pt>
                <pt idx="24">
                  <v>743.827689713235</v>
                </pt>
                <pt idx="25">
                  <v>744.9465397506859</v>
                </pt>
                <pt idx="26">
                  <v>745.8625766844294</v>
                </pt>
                <pt idx="27">
                  <v>661.8028918309086</v>
                </pt>
                <pt idx="28">
                  <v>541.8383800179064</v>
                </pt>
                <pt idx="29">
                  <v>443.6197449186141</v>
                </pt>
                <pt idx="30">
                  <v>363.2051278374791</v>
                </pt>
                <pt idx="31">
                  <v>297.3672078361638</v>
                </pt>
                <pt idx="32">
                  <v>243.4636780123992</v>
                </pt>
                <pt idx="33">
                  <v>199.331200446227</v>
                </pt>
                <pt idx="34">
                  <v>163.1985838532775</v>
                </pt>
                <pt idx="35">
                  <v>133.615699459454</v>
                </pt>
                <pt idx="36">
                  <v>109.3952822414801</v>
                </pt>
                <pt idx="37">
                  <v>89.56528181274537</v>
                </pt>
                <pt idx="38">
                  <v>73.32985062819074</v>
                </pt>
                <pt idx="39">
                  <v>60.03740382791451</v>
                </pt>
                <pt idx="40">
                  <v>49.15446884887535</v>
                </pt>
                <pt idx="41">
                  <v>40.24427529778794</v>
                </pt>
                <pt idx="42">
                  <v>32.94922582163551</v>
                </pt>
                <pt idx="43">
                  <v>26.97654447028415</v>
                </pt>
                <pt idx="44">
                  <v>22.08652656959738</v>
                </pt>
                <pt idx="45">
                  <v>18.08291853120333</v>
                </pt>
                <pt idx="46">
                  <v>14.80504150689991</v>
                </pt>
                <pt idx="47">
                  <v>12.12134278229493</v>
                </pt>
                <pt idx="48">
                  <v>9.924116104464694</v>
                </pt>
                <pt idx="49">
                  <v>8.125179051841698</v>
                </pt>
                <pt idx="50">
                  <v>6.652333964007801</v>
                </pt>
                <pt idx="51">
                  <v>5.446470396078347</v>
                </pt>
                <pt idx="52">
                  <v>4.459192808998155</v>
                </pt>
                <pt idx="53">
                  <v>3.650878286630983</v>
                </pt>
                <pt idx="54">
                  <v>2.989086329009433</v>
                </pt>
                <pt idx="55">
                  <v>2.447256901164995</v>
                </pt>
                <pt idx="56">
                  <v>2.003644485666106</v>
                </pt>
                <pt idx="57">
                  <v>1.640445358649955</v>
                </pt>
                <pt idx="58">
                  <v>1.343083063870759</v>
                </pt>
                <pt idx="59">
                  <v>1.099623408329188</v>
                </pt>
                <pt idx="60">
                  <v>0.9002955012035342</v>
                </pt>
                <pt idx="61">
                  <v>0.7370996136930892</v>
                </pt>
                <pt idx="62">
                  <v>0.6034861218124318</v>
                </pt>
                <pt idx="63">
                  <v>0.4940926469836033</v>
                </pt>
                <pt idx="64">
                  <v>0.4045288449551785</v>
                </pt>
                <pt idx="65">
                  <v>0.3312002058719197</v>
                </pt>
                <pt idx="66">
                  <v>0.2711637939730996</v>
                </pt>
                <pt idx="67">
                  <v>0.2220101372470782</v>
                </pt>
                <pt idx="68">
                  <v>0.1817665268592465</v>
                </pt>
                <pt idx="69">
                  <v>0.1488178454198402</v>
                </pt>
                <pt idx="70">
                  <v>0.1218417466520286</v>
                </pt>
                <pt idx="71">
                  <v>0.09975558499275211</v>
                </pt>
                <pt idx="72">
                  <v>0.08167296522485033</v>
                </pt>
                <pt idx="73">
                  <v>0.06686816832465359</v>
                </pt>
                <pt idx="74">
                  <v>0.05474702580938891</v>
                </pt>
                <pt idx="75">
                  <v>0.04482307366970073</v>
                </pt>
                <pt idx="76">
                  <v>0.03669802886086397</v>
                </pt>
                <pt idx="77">
                  <v>0.03004580480573258</v>
                </pt>
                <pt idx="78">
                  <v>0.0245994243954315</v>
                </pt>
                <pt idx="79">
                  <v>0.02014030526055653</v>
                </pt>
                <pt idx="80">
                  <v>0</v>
                </pt>
                <pt idx="81">
                  <v>135.9519351915131</v>
                </pt>
                <pt idx="82">
                  <v>247.2599654732698</v>
                </pt>
                <pt idx="83">
                  <v>338.3912729294808</v>
                </pt>
                <pt idx="84">
                  <v>413.003276912084</v>
                </pt>
                <pt idx="85">
                  <v>474.0904191214182</v>
                </pt>
                <pt idx="86">
                  <v>524.1043410658482</v>
                </pt>
                <pt idx="87">
                  <v>565.0522770437949</v>
                </pt>
                <pt idx="88">
                  <v>598.5776115040087</v>
                </pt>
                <pt idx="89">
                  <v>626.0258338338101</v>
                </pt>
                <pt idx="90">
                  <v>648.4985375725405</v>
                </pt>
                <pt idx="91">
                  <v>666.8976312282496</v>
                </pt>
                <pt idx="92">
                  <v>681.9615350329404</v>
                </pt>
                <pt idx="93">
                  <v>694.2948163392497</v>
                </pt>
                <pt idx="94">
                  <v>704.3924530310866</v>
                </pt>
                <pt idx="95">
                  <v>712.6596987241021</v>
                </pt>
                <pt idx="96">
                  <v>719.4283470162253</v>
                </pt>
                <pt idx="97">
                  <v>724.9700475297554</v>
                </pt>
                <pt idx="98">
                  <v>729.5072081645307</v>
                </pt>
                <pt idx="99">
                  <v>733.2219211078759</v>
                </pt>
                <pt idx="100">
                  <v>736.2632708334494</v>
                </pt>
                <pt idx="101">
                  <v>738.7533173846417</v>
                </pt>
                <pt idx="102">
                  <v>740.7919950726987</v>
                </pt>
                <pt idx="103">
                  <v>742.4611231915248</v>
                </pt>
                <pt idx="104">
                  <v>743.827689713235</v>
                </pt>
                <pt idx="105">
                  <v>744.9465397506859</v>
                </pt>
                <pt idx="106">
                  <v>745.8625766844294</v>
                </pt>
                <pt idx="107">
                  <v>661.8028918309097</v>
                </pt>
                <pt idx="108">
                  <v>541.8383800179054</v>
                </pt>
                <pt idx="109">
                  <v>443.6197449186137</v>
                </pt>
                <pt idx="110">
                  <v>363.2051278374791</v>
                </pt>
                <pt idx="111">
                  <v>297.3672078361641</v>
                </pt>
                <pt idx="112">
                  <v>243.4636780123996</v>
                </pt>
                <pt idx="113">
                  <v>199.3312004462266</v>
                </pt>
                <pt idx="114">
                  <v>163.1985838532774</v>
                </pt>
                <pt idx="115">
                  <v>133.615699459454</v>
                </pt>
                <pt idx="116">
                  <v>109.3952822414802</v>
                </pt>
                <pt idx="117">
                  <v>89.56528181274552</v>
                </pt>
                <pt idx="118">
                  <v>73.32985062819061</v>
                </pt>
                <pt idx="119">
                  <v>60.03740382791446</v>
                </pt>
                <pt idx="120">
                  <v>49.15446884887535</v>
                </pt>
                <pt idx="121">
                  <v>40.24427529778794</v>
                </pt>
                <pt idx="122">
                  <v>32.94922582163557</v>
                </pt>
                <pt idx="123">
                  <v>26.9765444702841</v>
                </pt>
                <pt idx="124">
                  <v>22.08652656959738</v>
                </pt>
                <pt idx="125">
                  <v>18.08291853120333</v>
                </pt>
                <pt idx="126">
                  <v>14.80504150689991</v>
                </pt>
                <pt idx="127">
                  <v>12.12134278229495</v>
                </pt>
                <pt idx="128">
                  <v>9.924116104464677</v>
                </pt>
                <pt idx="129">
                  <v>8.125179051841698</v>
                </pt>
                <pt idx="130">
                  <v>6.652333964007801</v>
                </pt>
                <pt idx="131">
                  <v>5.446470396078347</v>
                </pt>
                <pt idx="132">
                  <v>4.459192808998163</v>
                </pt>
                <pt idx="133">
                  <v>3.650878286630976</v>
                </pt>
                <pt idx="134">
                  <v>2.989086329009433</v>
                </pt>
                <pt idx="135">
                  <v>2.447256901164995</v>
                </pt>
                <pt idx="136">
                  <v>2.003644485666106</v>
                </pt>
                <pt idx="137">
                  <v>1.640445358649958</v>
                </pt>
                <pt idx="138">
                  <v>1.343083063870756</v>
                </pt>
                <pt idx="139">
                  <v>1.099623408329188</v>
                </pt>
                <pt idx="140">
                  <v>0.9002955012035342</v>
                </pt>
                <pt idx="141">
                  <v>0.7370996136930892</v>
                </pt>
                <pt idx="142">
                  <v>0.6034861218124329</v>
                </pt>
                <pt idx="143">
                  <v>0.4940926469836024</v>
                </pt>
                <pt idx="144">
                  <v>0.4045288449551785</v>
                </pt>
                <pt idx="145">
                  <v>0.3312002058719197</v>
                </pt>
                <pt idx="146">
                  <v>0.2711637939730996</v>
                </pt>
                <pt idx="147">
                  <v>0.222010137247079</v>
                </pt>
                <pt idx="148">
                  <v>0.1817665268592465</v>
                </pt>
                <pt idx="149">
                  <v>0.1488178454198402</v>
                </pt>
                <pt idx="150">
                  <v>0.1218417466520286</v>
                </pt>
                <pt idx="151">
                  <v>0.09975558499275211</v>
                </pt>
                <pt idx="152">
                  <v>0.08167296522485062</v>
                </pt>
                <pt idx="153">
                  <v>0.06686816832465359</v>
                </pt>
                <pt idx="154">
                  <v>0.05474702580938891</v>
                </pt>
                <pt idx="155">
                  <v>0.04482307366970073</v>
                </pt>
                <pt idx="156">
                  <v>0.03669802886086397</v>
                </pt>
                <pt idx="157">
                  <v>0.03004580480573269</v>
                </pt>
                <pt idx="158">
                  <v>0.0245994243954315</v>
                </pt>
                <pt idx="159">
                  <v>0.02014030526055653</v>
                </pt>
                <pt idx="160">
                  <v>0</v>
                </pt>
                <pt idx="161">
                  <v>135.9519351915154</v>
                </pt>
                <pt idx="162">
                  <v>247.2599654732698</v>
                </pt>
                <pt idx="163">
                  <v>338.3912729294808</v>
                </pt>
                <pt idx="164">
                  <v>413.0032769120828</v>
                </pt>
                <pt idx="165">
                  <v>474.0904191214182</v>
                </pt>
                <pt idx="166">
                  <v>524.104341065849</v>
                </pt>
                <pt idx="167">
                  <v>565.0522770437949</v>
                </pt>
                <pt idx="168">
                  <v>598.5776115040087</v>
                </pt>
                <pt idx="169">
                  <v>626.0258338338098</v>
                </pt>
                <pt idx="170">
                  <v>648.4985375725405</v>
                </pt>
                <pt idx="171">
                  <v>666.8976312282499</v>
                </pt>
                <pt idx="172">
                  <v>681.9615350329404</v>
                </pt>
                <pt idx="173">
                  <v>694.2948163392497</v>
                </pt>
                <pt idx="174">
                  <v>704.3924530310863</v>
                </pt>
                <pt idx="175">
                  <v>712.6596987241021</v>
                </pt>
                <pt idx="176">
                  <v>719.4283470162255</v>
                </pt>
                <pt idx="177">
                  <v>724.9700475297554</v>
                </pt>
                <pt idx="178">
                  <v>729.5072081645307</v>
                </pt>
                <pt idx="179">
                  <v>733.2219211078758</v>
                </pt>
                <pt idx="180">
                  <v>736.2632708334494</v>
                </pt>
                <pt idx="181">
                  <v>738.7533173846417</v>
                </pt>
                <pt idx="182">
                  <v>740.7919950726987</v>
                </pt>
                <pt idx="183">
                  <v>742.4611231915248</v>
                </pt>
                <pt idx="184">
                  <v>743.827689713235</v>
                </pt>
                <pt idx="185">
                  <v>744.9465397506859</v>
                </pt>
                <pt idx="186">
                  <v>745.8625766844294</v>
                </pt>
                <pt idx="187">
                  <v>661.8028918309097</v>
                </pt>
                <pt idx="188">
                  <v>541.8383800179054</v>
                </pt>
                <pt idx="189">
                  <v>443.6197449186153</v>
                </pt>
                <pt idx="190">
                  <v>363.2051278374791</v>
                </pt>
                <pt idx="191">
                  <v>297.3672078361631</v>
                </pt>
                <pt idx="192">
                  <v>243.4636780123996</v>
                </pt>
                <pt idx="193">
                  <v>199.3312004462266</v>
                </pt>
                <pt idx="194">
                  <v>163.198583853278</v>
                </pt>
                <pt idx="195">
                  <v>133.615699459454</v>
                </pt>
                <pt idx="196">
                  <v>109.3952822414798</v>
                </pt>
                <pt idx="197">
                  <v>89.56528181274552</v>
                </pt>
                <pt idx="198">
                  <v>73.32985062819061</v>
                </pt>
                <pt idx="199">
                  <v>60.03740382791468</v>
                </pt>
                <pt idx="200">
                  <v>49.15446884887535</v>
                </pt>
                <pt idx="201">
                  <v>40.24427529778779</v>
                </pt>
                <pt idx="202">
                  <v>32.94922582163557</v>
                </pt>
                <pt idx="203">
                  <v>26.9765444702841</v>
                </pt>
                <pt idx="204">
                  <v>22.08652656959746</v>
                </pt>
                <pt idx="205">
                  <v>18.08291853120333</v>
                </pt>
                <pt idx="206">
                  <v>14.80504150689986</v>
                </pt>
                <pt idx="207">
                  <v>12.12134278229495</v>
                </pt>
                <pt idx="208">
                  <v>9.924116104464677</v>
                </pt>
                <pt idx="209">
                  <v>8.125179051841727</v>
                </pt>
                <pt idx="210">
                  <v>6.652333964007801</v>
                </pt>
                <pt idx="211">
                  <v>5.446470396078328</v>
                </pt>
                <pt idx="212">
                  <v>4.459192808998163</v>
                </pt>
                <pt idx="213">
                  <v>3.650878286630976</v>
                </pt>
                <pt idx="214">
                  <v>2.989086329009444</v>
                </pt>
                <pt idx="215">
                  <v>2.447256901164995</v>
                </pt>
                <pt idx="216">
                  <v>2.003644485666099</v>
                </pt>
                <pt idx="217">
                  <v>1.640445358649958</v>
                </pt>
                <pt idx="218">
                  <v>1.343083063870756</v>
                </pt>
                <pt idx="219">
                  <v>1.099623408329192</v>
                </pt>
                <pt idx="220">
                  <v>0.9002955012035342</v>
                </pt>
                <pt idx="221">
                  <v>0.7370996136930866</v>
                </pt>
                <pt idx="222">
                  <v>0.6034861218124329</v>
                </pt>
                <pt idx="223">
                  <v>0.4940926469836024</v>
                </pt>
                <pt idx="224">
                  <v>0.40452884495518</v>
                </pt>
                <pt idx="225">
                  <v>0.3312002058719197</v>
                </pt>
                <pt idx="226">
                  <v>0.2711637939730988</v>
                </pt>
                <pt idx="227">
                  <v>0.222010137247079</v>
                </pt>
                <pt idx="228">
                  <v>0.1817665268592465</v>
                </pt>
                <pt idx="229">
                  <v>0.1488178454198408</v>
                </pt>
                <pt idx="230">
                  <v>0.1218417466520286</v>
                </pt>
                <pt idx="231">
                  <v>0.09975558499275178</v>
                </pt>
                <pt idx="232">
                  <v>0.08167296522485062</v>
                </pt>
                <pt idx="233">
                  <v>0.06686816832465359</v>
                </pt>
                <pt idx="234">
                  <v>0.05474702580938912</v>
                </pt>
                <pt idx="235">
                  <v>0.04482307366970073</v>
                </pt>
                <pt idx="236">
                  <v>0.03669802886086383</v>
                </pt>
                <pt idx="237">
                  <v>0.03004580480573269</v>
                </pt>
                <pt idx="238">
                  <v>0.0245994243954315</v>
                </pt>
                <pt idx="239">
                  <v>0.0201403052605566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Muscle Pressure (Pmus)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PSV!$F$28</f>
              <strCache>
                <ptCount val="1"/>
                <pt idx="0">
                  <v>Pmus (cmH2O)</v>
                </pt>
              </strCache>
            </strRef>
          </tx>
          <spPr>
            <a:ln xmlns:a="http://schemas.openxmlformats.org/drawingml/2006/main" w="22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PSV!$F$29:$F$268</f>
              <numCache>
                <formatCode>0.000</formatCode>
                <ptCount val="24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0</v>
                </pt>
                <pt idx="16">
                  <v>0</v>
                </pt>
                <pt idx="17">
                  <v>0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  <pt idx="22">
                  <v>0</v>
                </pt>
                <pt idx="23">
                  <v>0</v>
                </pt>
                <pt idx="24">
                  <v>0</v>
                </pt>
                <pt idx="25">
                  <v>0</v>
                </pt>
                <pt idx="26">
                  <v>0</v>
                </pt>
                <pt idx="27">
                  <v>0</v>
                </pt>
                <pt idx="28">
                  <v>0</v>
                </pt>
                <pt idx="29">
                  <v>0</v>
                </pt>
                <pt idx="30">
                  <v>0</v>
                </pt>
                <pt idx="31">
                  <v>0</v>
                </pt>
                <pt idx="32">
                  <v>0</v>
                </pt>
                <pt idx="33">
                  <v>0</v>
                </pt>
                <pt idx="34">
                  <v>0</v>
                </pt>
                <pt idx="35">
                  <v>0</v>
                </pt>
                <pt idx="36">
                  <v>0</v>
                </pt>
                <pt idx="37">
                  <v>0</v>
                </pt>
                <pt idx="38">
                  <v>0</v>
                </pt>
                <pt idx="39">
                  <v>0</v>
                </pt>
                <pt idx="40">
                  <v>0</v>
                </pt>
                <pt idx="41">
                  <v>0</v>
                </pt>
                <pt idx="42">
                  <v>0</v>
                </pt>
                <pt idx="43">
                  <v>0</v>
                </pt>
                <pt idx="44">
                  <v>0</v>
                </pt>
                <pt idx="45">
                  <v>0</v>
                </pt>
                <pt idx="46">
                  <v>0</v>
                </pt>
                <pt idx="47">
                  <v>0</v>
                </pt>
                <pt idx="48">
                  <v>0</v>
                </pt>
                <pt idx="49">
                  <v>0</v>
                </pt>
                <pt idx="50">
                  <v>0</v>
                </pt>
                <pt idx="51">
                  <v>0</v>
                </pt>
                <pt idx="52">
                  <v>0</v>
                </pt>
                <pt idx="53">
                  <v>0</v>
                </pt>
                <pt idx="54">
                  <v>0</v>
                </pt>
                <pt idx="55">
                  <v>0</v>
                </pt>
                <pt idx="56">
                  <v>0</v>
                </pt>
                <pt idx="57">
                  <v>0</v>
                </pt>
                <pt idx="58">
                  <v>0</v>
                </pt>
                <pt idx="59">
                  <v>0</v>
                </pt>
                <pt idx="60">
                  <v>0</v>
                </pt>
                <pt idx="61">
                  <v>0</v>
                </pt>
                <pt idx="62">
                  <v>0</v>
                </pt>
                <pt idx="63">
                  <v>0</v>
                </pt>
                <pt idx="64">
                  <v>0</v>
                </pt>
                <pt idx="65">
                  <v>0</v>
                </pt>
                <pt idx="66">
                  <v>0</v>
                </pt>
                <pt idx="67">
                  <v>0</v>
                </pt>
                <pt idx="68">
                  <v>0</v>
                </pt>
                <pt idx="69">
                  <v>0</v>
                </pt>
                <pt idx="70">
                  <v>0</v>
                </pt>
                <pt idx="71">
                  <v>0</v>
                </pt>
                <pt idx="72">
                  <v>0</v>
                </pt>
                <pt idx="73">
                  <v>0</v>
                </pt>
                <pt idx="74">
                  <v>0</v>
                </pt>
                <pt idx="75">
                  <v>0</v>
                </pt>
                <pt idx="76">
                  <v>0</v>
                </pt>
                <pt idx="77">
                  <v>0</v>
                </pt>
                <pt idx="78">
                  <v>0</v>
                </pt>
                <pt idx="79">
                  <v>0</v>
                </pt>
                <pt idx="80">
                  <v>0</v>
                </pt>
                <pt idx="81">
                  <v>0</v>
                </pt>
                <pt idx="82">
                  <v>0</v>
                </pt>
                <pt idx="83">
                  <v>0</v>
                </pt>
                <pt idx="84">
                  <v>0</v>
                </pt>
                <pt idx="85">
                  <v>0</v>
                </pt>
                <pt idx="86">
                  <v>0</v>
                </pt>
                <pt idx="87">
                  <v>0</v>
                </pt>
                <pt idx="88">
                  <v>0</v>
                </pt>
                <pt idx="89">
                  <v>0</v>
                </pt>
                <pt idx="90">
                  <v>0</v>
                </pt>
                <pt idx="91">
                  <v>0</v>
                </pt>
                <pt idx="92">
                  <v>0</v>
                </pt>
                <pt idx="93">
                  <v>0</v>
                </pt>
                <pt idx="94">
                  <v>0</v>
                </pt>
                <pt idx="95">
                  <v>0</v>
                </pt>
                <pt idx="96">
                  <v>0</v>
                </pt>
                <pt idx="97">
                  <v>0</v>
                </pt>
                <pt idx="98">
                  <v>0</v>
                </pt>
                <pt idx="99">
                  <v>0</v>
                </pt>
                <pt idx="100">
                  <v>0</v>
                </pt>
                <pt idx="101">
                  <v>0</v>
                </pt>
                <pt idx="102">
                  <v>0</v>
                </pt>
                <pt idx="103">
                  <v>0</v>
                </pt>
                <pt idx="104">
                  <v>0</v>
                </pt>
                <pt idx="105">
                  <v>0</v>
                </pt>
                <pt idx="106">
                  <v>0</v>
                </pt>
                <pt idx="107">
                  <v>0</v>
                </pt>
                <pt idx="108">
                  <v>0</v>
                </pt>
                <pt idx="109">
                  <v>0</v>
                </pt>
                <pt idx="110">
                  <v>0</v>
                </pt>
                <pt idx="111">
                  <v>0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Esophageal Pressure (Pes)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PSV!$G$28</f>
              <strCache>
                <ptCount val="1"/>
                <pt idx="0">
                  <v>Pes (cmH2O)</v>
                </pt>
              </strCache>
            </strRef>
          </tx>
          <spPr>
            <a:ln xmlns:a="http://schemas.openxmlformats.org/drawingml/2006/main" w="22000">
              <a:solidFill>
                <a:srgbClr val="843C0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PSV!$G$29:$G$268</f>
              <numCache>
                <formatCode>0.000</formatCode>
                <ptCount val="240"/>
                <pt idx="0">
                  <v>4</v>
                </pt>
                <pt idx="1">
                  <v>4.679759675957568</v>
                </pt>
                <pt idx="2">
                  <v>5.236299827366352</v>
                </pt>
                <pt idx="3">
                  <v>5.691956364647401</v>
                </pt>
                <pt idx="4">
                  <v>6.065016384560419</v>
                </pt>
                <pt idx="5">
                  <v>6.37045209560709</v>
                </pt>
                <pt idx="6">
                  <v>6.620521705329242</v>
                </pt>
                <pt idx="7">
                  <v>6.825261385218976</v>
                </pt>
                <pt idx="8">
                  <v>6.992888057520043</v>
                </pt>
                <pt idx="9">
                  <v>7.13012916916905</v>
                </pt>
                <pt idx="10">
                  <v>7.242492687862702</v>
                </pt>
                <pt idx="11">
                  <v>7.334488156141248</v>
                </pt>
                <pt idx="12">
                  <v>7.409807675164704</v>
                </pt>
                <pt idx="13">
                  <v>7.471474081696248</v>
                </pt>
                <pt idx="14">
                  <v>7.521962265155432</v>
                </pt>
                <pt idx="15">
                  <v>7.56329849362051</v>
                </pt>
                <pt idx="16">
                  <v>7.597141735081127</v>
                </pt>
                <pt idx="17">
                  <v>7.624850237648777</v>
                </pt>
                <pt idx="18">
                  <v>7.647536040822652</v>
                </pt>
                <pt idx="19">
                  <v>7.666109605539379</v>
                </pt>
                <pt idx="20">
                  <v>7.681316354167246</v>
                </pt>
                <pt idx="21">
                  <v>7.693766586923209</v>
                </pt>
                <pt idx="22">
                  <v>7.703959975363493</v>
                </pt>
                <pt idx="23">
                  <v>7.712305615957623</v>
                </pt>
                <pt idx="24">
                  <v>7.719138448566175</v>
                </pt>
                <pt idx="25">
                  <v>7.72473269875343</v>
                </pt>
                <pt idx="26">
                  <v>7.729312883422147</v>
                </pt>
                <pt idx="27">
                  <v>7.309014459154543</v>
                </pt>
                <pt idx="28">
                  <v>6.709191900089532</v>
                </pt>
                <pt idx="29">
                  <v>6.21809872459307</v>
                </pt>
                <pt idx="30">
                  <v>5.816025639187395</v>
                </pt>
                <pt idx="31">
                  <v>5.486836039180819</v>
                </pt>
                <pt idx="32">
                  <v>5.217318390061996</v>
                </pt>
                <pt idx="33">
                  <v>4.996656002231135</v>
                </pt>
                <pt idx="34">
                  <v>4.815992919266388</v>
                </pt>
                <pt idx="35">
                  <v>4.66807849729727</v>
                </pt>
                <pt idx="36">
                  <v>4.5469764112074</v>
                </pt>
                <pt idx="37">
                  <v>4.447826409063727</v>
                </pt>
                <pt idx="38">
                  <v>4.366649253140953</v>
                </pt>
                <pt idx="39">
                  <v>4.300187019139573</v>
                </pt>
                <pt idx="40">
                  <v>4.245772344244377</v>
                </pt>
                <pt idx="41">
                  <v>4.20122137648894</v>
                </pt>
                <pt idx="42">
                  <v>4.164746129108178</v>
                </pt>
                <pt idx="43">
                  <v>4.134882722351421</v>
                </pt>
                <pt idx="44">
                  <v>4.110432632847987</v>
                </pt>
                <pt idx="45">
                  <v>4.090414592656017</v>
                </pt>
                <pt idx="46">
                  <v>4.0740252075345</v>
                </pt>
                <pt idx="47">
                  <v>4.060606713911475</v>
                </pt>
                <pt idx="48">
                  <v>4.049620580522324</v>
                </pt>
                <pt idx="49">
                  <v>4.040625895259208</v>
                </pt>
                <pt idx="50">
                  <v>4.033261669820039</v>
                </pt>
                <pt idx="51">
                  <v>4.027232351980392</v>
                </pt>
                <pt idx="52">
                  <v>4.022295964044991</v>
                </pt>
                <pt idx="53">
                  <v>4.018254391433155</v>
                </pt>
                <pt idx="54">
                  <v>4.014945431645047</v>
                </pt>
                <pt idx="55">
                  <v>4.012236284505825</v>
                </pt>
                <pt idx="56">
                  <v>4.010018222428331</v>
                </pt>
                <pt idx="57">
                  <v>4.00820222679325</v>
                </pt>
                <pt idx="58">
                  <v>4.006715415319354</v>
                </pt>
                <pt idx="59">
                  <v>4.005498117041646</v>
                </pt>
                <pt idx="60">
                  <v>4.004501477506017</v>
                </pt>
                <pt idx="61">
                  <v>4.003685498068466</v>
                </pt>
                <pt idx="62">
                  <v>4.003017430609062</v>
                </pt>
                <pt idx="63">
                  <v>4.002470463234918</v>
                </pt>
                <pt idx="64">
                  <v>4.002022644224776</v>
                </pt>
                <pt idx="65">
                  <v>4.001656001029359</v>
                </pt>
                <pt idx="66">
                  <v>4.001355818969865</v>
                </pt>
                <pt idx="67">
                  <v>4.001110050686235</v>
                </pt>
                <pt idx="68">
                  <v>4.000908832634297</v>
                </pt>
                <pt idx="69">
                  <v>4.0007440892271</v>
                </pt>
                <pt idx="70">
                  <v>4.00060920873326</v>
                </pt>
                <pt idx="71">
                  <v>4.000498777924964</v>
                </pt>
                <pt idx="72">
                  <v>4.000408364826124</v>
                </pt>
                <pt idx="73">
                  <v>4.000334340841623</v>
                </pt>
                <pt idx="74">
                  <v>4.000273735129047</v>
                </pt>
                <pt idx="75">
                  <v>4.000224115368349</v>
                </pt>
                <pt idx="76">
                  <v>4.000183490144305</v>
                </pt>
                <pt idx="77">
                  <v>4.000150229024029</v>
                </pt>
                <pt idx="78">
                  <v>4.000122997121977</v>
                </pt>
                <pt idx="79">
                  <v>4.000100701526303</v>
                </pt>
                <pt idx="80">
                  <v>4</v>
                </pt>
                <pt idx="81">
                  <v>4.679759675957565</v>
                </pt>
                <pt idx="82">
                  <v>5.236299827366349</v>
                </pt>
                <pt idx="83">
                  <v>5.691956364647404</v>
                </pt>
                <pt idx="84">
                  <v>6.06501638456042</v>
                </pt>
                <pt idx="85">
                  <v>6.37045209560709</v>
                </pt>
                <pt idx="86">
                  <v>6.62052170532924</v>
                </pt>
                <pt idx="87">
                  <v>6.825261385218974</v>
                </pt>
                <pt idx="88">
                  <v>6.992888057520043</v>
                </pt>
                <pt idx="89">
                  <v>7.13012916916905</v>
                </pt>
                <pt idx="90">
                  <v>7.242492687862702</v>
                </pt>
                <pt idx="91">
                  <v>7.334488156141248</v>
                </pt>
                <pt idx="92">
                  <v>7.409807675164702</v>
                </pt>
                <pt idx="93">
                  <v>7.471474081696249</v>
                </pt>
                <pt idx="94">
                  <v>7.521962265155432</v>
                </pt>
                <pt idx="95">
                  <v>7.56329849362051</v>
                </pt>
                <pt idx="96">
                  <v>7.597141735081126</v>
                </pt>
                <pt idx="97">
                  <v>7.624850237648777</v>
                </pt>
                <pt idx="98">
                  <v>7.647536040822652</v>
                </pt>
                <pt idx="99">
                  <v>7.666109605539379</v>
                </pt>
                <pt idx="100">
                  <v>7.681316354167246</v>
                </pt>
                <pt idx="101">
                  <v>7.693766586923209</v>
                </pt>
                <pt idx="102">
                  <v>7.703959975363493</v>
                </pt>
                <pt idx="103">
                  <v>7.712305615957623</v>
                </pt>
                <pt idx="104">
                  <v>7.719138448566175</v>
                </pt>
                <pt idx="105">
                  <v>7.72473269875343</v>
                </pt>
                <pt idx="106">
                  <v>7.729312883422147</v>
                </pt>
                <pt idx="107">
                  <v>7.309014459154549</v>
                </pt>
                <pt idx="108">
                  <v>6.709191900089527</v>
                </pt>
                <pt idx="109">
                  <v>6.218098724593068</v>
                </pt>
                <pt idx="110">
                  <v>5.816025639187395</v>
                </pt>
                <pt idx="111">
                  <v>5.486836039180821</v>
                </pt>
                <pt idx="112">
                  <v>5.217318390061997</v>
                </pt>
                <pt idx="113">
                  <v>4.996656002231133</v>
                </pt>
                <pt idx="114">
                  <v>4.815992919266387</v>
                </pt>
                <pt idx="115">
                  <v>4.66807849729727</v>
                </pt>
                <pt idx="116">
                  <v>4.546976411207401</v>
                </pt>
                <pt idx="117">
                  <v>4.447826409063728</v>
                </pt>
                <pt idx="118">
                  <v>4.366649253140953</v>
                </pt>
                <pt idx="119">
                  <v>4.300187019139572</v>
                </pt>
                <pt idx="120">
                  <v>4.245772344244377</v>
                </pt>
                <pt idx="121">
                  <v>4.20122137648894</v>
                </pt>
                <pt idx="122">
                  <v>4.164746129108178</v>
                </pt>
                <pt idx="123">
                  <v>4.134882722351421</v>
                </pt>
                <pt idx="124">
                  <v>4.110432632847987</v>
                </pt>
                <pt idx="125">
                  <v>4.090414592656017</v>
                </pt>
                <pt idx="126">
                  <v>4.0740252075345</v>
                </pt>
                <pt idx="127">
                  <v>4.060606713911475</v>
                </pt>
                <pt idx="128">
                  <v>4.049620580522324</v>
                </pt>
                <pt idx="129">
                  <v>4.040625895259208</v>
                </pt>
                <pt idx="130">
                  <v>4.033261669820039</v>
                </pt>
                <pt idx="131">
                  <v>4.027232351980392</v>
                </pt>
                <pt idx="132">
                  <v>4.022295964044991</v>
                </pt>
                <pt idx="133">
                  <v>4.018254391433155</v>
                </pt>
                <pt idx="134">
                  <v>4.014945431645047</v>
                </pt>
                <pt idx="135">
                  <v>4.012236284505825</v>
                </pt>
                <pt idx="136">
                  <v>4.010018222428331</v>
                </pt>
                <pt idx="137">
                  <v>4.00820222679325</v>
                </pt>
                <pt idx="138">
                  <v>4.006715415319354</v>
                </pt>
                <pt idx="139">
                  <v>4.005498117041646</v>
                </pt>
                <pt idx="140">
                  <v>4.004501477506017</v>
                </pt>
                <pt idx="141">
                  <v>4.003685498068466</v>
                </pt>
                <pt idx="142">
                  <v>4.003017430609062</v>
                </pt>
                <pt idx="143">
                  <v>4.002470463234918</v>
                </pt>
                <pt idx="144">
                  <v>4.002022644224776</v>
                </pt>
                <pt idx="145">
                  <v>4.001656001029359</v>
                </pt>
                <pt idx="146">
                  <v>4.001355818969865</v>
                </pt>
                <pt idx="147">
                  <v>4.001110050686235</v>
                </pt>
                <pt idx="148">
                  <v>4.000908832634297</v>
                </pt>
                <pt idx="149">
                  <v>4.0007440892271</v>
                </pt>
                <pt idx="150">
                  <v>4.00060920873326</v>
                </pt>
                <pt idx="151">
                  <v>4.000498777924964</v>
                </pt>
                <pt idx="152">
                  <v>4.000408364826124</v>
                </pt>
                <pt idx="153">
                  <v>4.000334340841623</v>
                </pt>
                <pt idx="154">
                  <v>4.000273735129047</v>
                </pt>
                <pt idx="155">
                  <v>4.000224115368349</v>
                </pt>
                <pt idx="156">
                  <v>4.000183490144305</v>
                </pt>
                <pt idx="157">
                  <v>4.000150229024029</v>
                </pt>
                <pt idx="158">
                  <v>4.000122997121977</v>
                </pt>
                <pt idx="159">
                  <v>4.000100701526303</v>
                </pt>
                <pt idx="160">
                  <v>4</v>
                </pt>
                <pt idx="161">
                  <v>4.679759675957577</v>
                </pt>
                <pt idx="162">
                  <v>5.236299827366349</v>
                </pt>
                <pt idx="163">
                  <v>5.691956364647404</v>
                </pt>
                <pt idx="164">
                  <v>6.065016384560414</v>
                </pt>
                <pt idx="165">
                  <v>6.37045209560709</v>
                </pt>
                <pt idx="166">
                  <v>6.620521705329245</v>
                </pt>
                <pt idx="167">
                  <v>6.825261385218974</v>
                </pt>
                <pt idx="168">
                  <v>6.992888057520043</v>
                </pt>
                <pt idx="169">
                  <v>7.130129169169049</v>
                </pt>
                <pt idx="170">
                  <v>7.242492687862702</v>
                </pt>
                <pt idx="171">
                  <v>7.33448815614125</v>
                </pt>
                <pt idx="172">
                  <v>7.409807675164702</v>
                </pt>
                <pt idx="173">
                  <v>7.471474081696249</v>
                </pt>
                <pt idx="174">
                  <v>7.521962265155432</v>
                </pt>
                <pt idx="175">
                  <v>7.56329849362051</v>
                </pt>
                <pt idx="176">
                  <v>7.597141735081127</v>
                </pt>
                <pt idx="177">
                  <v>7.624850237648777</v>
                </pt>
                <pt idx="178">
                  <v>7.647536040822652</v>
                </pt>
                <pt idx="179">
                  <v>7.666109605539379</v>
                </pt>
                <pt idx="180">
                  <v>7.681316354167246</v>
                </pt>
                <pt idx="181">
                  <v>7.693766586923209</v>
                </pt>
                <pt idx="182">
                  <v>7.703959975363493</v>
                </pt>
                <pt idx="183">
                  <v>7.712305615957623</v>
                </pt>
                <pt idx="184">
                  <v>7.719138448566175</v>
                </pt>
                <pt idx="185">
                  <v>7.72473269875343</v>
                </pt>
                <pt idx="186">
                  <v>7.729312883422147</v>
                </pt>
                <pt idx="187">
                  <v>7.309014459154549</v>
                </pt>
                <pt idx="188">
                  <v>6.709191900089527</v>
                </pt>
                <pt idx="189">
                  <v>6.218098724593077</v>
                </pt>
                <pt idx="190">
                  <v>5.816025639187395</v>
                </pt>
                <pt idx="191">
                  <v>5.486836039180815</v>
                </pt>
                <pt idx="192">
                  <v>5.217318390061997</v>
                </pt>
                <pt idx="193">
                  <v>4.996656002231133</v>
                </pt>
                <pt idx="194">
                  <v>4.81599291926639</v>
                </pt>
                <pt idx="195">
                  <v>4.66807849729727</v>
                </pt>
                <pt idx="196">
                  <v>4.546976411207399</v>
                </pt>
                <pt idx="197">
                  <v>4.447826409063728</v>
                </pt>
                <pt idx="198">
                  <v>4.366649253140953</v>
                </pt>
                <pt idx="199">
                  <v>4.300187019139574</v>
                </pt>
                <pt idx="200">
                  <v>4.245772344244377</v>
                </pt>
                <pt idx="201">
                  <v>4.201221376488939</v>
                </pt>
                <pt idx="202">
                  <v>4.164746129108178</v>
                </pt>
                <pt idx="203">
                  <v>4.134882722351421</v>
                </pt>
                <pt idx="204">
                  <v>4.110432632847988</v>
                </pt>
                <pt idx="205">
                  <v>4.090414592656017</v>
                </pt>
                <pt idx="206">
                  <v>4.0740252075345</v>
                </pt>
                <pt idx="207">
                  <v>4.060606713911475</v>
                </pt>
                <pt idx="208">
                  <v>4.049620580522324</v>
                </pt>
                <pt idx="209">
                  <v>4.040625895259208</v>
                </pt>
                <pt idx="210">
                  <v>4.033261669820039</v>
                </pt>
                <pt idx="211">
                  <v>4.027232351980391</v>
                </pt>
                <pt idx="212">
                  <v>4.022295964044991</v>
                </pt>
                <pt idx="213">
                  <v>4.018254391433155</v>
                </pt>
                <pt idx="214">
                  <v>4.014945431645047</v>
                </pt>
                <pt idx="215">
                  <v>4.012236284505825</v>
                </pt>
                <pt idx="216">
                  <v>4.010018222428331</v>
                </pt>
                <pt idx="217">
                  <v>4.00820222679325</v>
                </pt>
                <pt idx="218">
                  <v>4.006715415319354</v>
                </pt>
                <pt idx="219">
                  <v>4.005498117041646</v>
                </pt>
                <pt idx="220">
                  <v>4.004501477506017</v>
                </pt>
                <pt idx="221">
                  <v>4.003685498068466</v>
                </pt>
                <pt idx="222">
                  <v>4.003017430609062</v>
                </pt>
                <pt idx="223">
                  <v>4.002470463234918</v>
                </pt>
                <pt idx="224">
                  <v>4.002022644224776</v>
                </pt>
                <pt idx="225">
                  <v>4.001656001029359</v>
                </pt>
                <pt idx="226">
                  <v>4.001355818969865</v>
                </pt>
                <pt idx="227">
                  <v>4.001110050686235</v>
                </pt>
                <pt idx="228">
                  <v>4.000908832634297</v>
                </pt>
                <pt idx="229">
                  <v>4.0007440892271</v>
                </pt>
                <pt idx="230">
                  <v>4.00060920873326</v>
                </pt>
                <pt idx="231">
                  <v>4.000498777924964</v>
                </pt>
                <pt idx="232">
                  <v>4.000408364826124</v>
                </pt>
                <pt idx="233">
                  <v>4.000334340841623</v>
                </pt>
                <pt idx="234">
                  <v>4.000273735129047</v>
                </pt>
                <pt idx="235">
                  <v>4.000224115368349</v>
                </pt>
                <pt idx="236">
                  <v>4.000183490144305</v>
                </pt>
                <pt idx="237">
                  <v>4.000150229024029</v>
                </pt>
                <pt idx="238">
                  <v>4.000122997121977</v>
                </pt>
                <pt idx="239">
                  <v>4.000100701526303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Pressure (PL)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PSV!$H$28</f>
              <strCache>
                <ptCount val="1"/>
                <pt idx="0">
                  <v>PL (cmH2O)</v>
                </pt>
              </strCache>
            </strRef>
          </tx>
          <spPr>
            <a:ln xmlns:a="http://schemas.openxmlformats.org/drawingml/2006/main" w="22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PSV!$H$29:$H$268</f>
              <numCache>
                <formatCode>0.000</formatCode>
                <ptCount val="240"/>
                <pt idx="0">
                  <v>11</v>
                </pt>
                <pt idx="1">
                  <v>10.32024032404243</v>
                </pt>
                <pt idx="2">
                  <v>9.763700172633648</v>
                </pt>
                <pt idx="3">
                  <v>9.308043635352599</v>
                </pt>
                <pt idx="4">
                  <v>8.934983615439581</v>
                </pt>
                <pt idx="5">
                  <v>8.62954790439291</v>
                </pt>
                <pt idx="6">
                  <v>8.379478294670758</v>
                </pt>
                <pt idx="7">
                  <v>8.174738614781024</v>
                </pt>
                <pt idx="8">
                  <v>8.007111942479957</v>
                </pt>
                <pt idx="9">
                  <v>7.86987083083095</v>
                </pt>
                <pt idx="10">
                  <v>7.757507312137298</v>
                </pt>
                <pt idx="11">
                  <v>7.665511843858752</v>
                </pt>
                <pt idx="12">
                  <v>7.590192324835296</v>
                </pt>
                <pt idx="13">
                  <v>7.528525918303752</v>
                </pt>
                <pt idx="14">
                  <v>7.478037734844568</v>
                </pt>
                <pt idx="15">
                  <v>7.43670150637949</v>
                </pt>
                <pt idx="16">
                  <v>7.402858264918873</v>
                </pt>
                <pt idx="17">
                  <v>7.375149762351223</v>
                </pt>
                <pt idx="18">
                  <v>7.352463959177348</v>
                </pt>
                <pt idx="19">
                  <v>7.333890394460621</v>
                </pt>
                <pt idx="20">
                  <v>7.318683645832754</v>
                </pt>
                <pt idx="21">
                  <v>7.306233413076791</v>
                </pt>
                <pt idx="22">
                  <v>7.296040024636507</v>
                </pt>
                <pt idx="23">
                  <v>7.287694384042377</v>
                </pt>
                <pt idx="24">
                  <v>7.280861551433825</v>
                </pt>
                <pt idx="25">
                  <v>7.27526730124657</v>
                </pt>
                <pt idx="26">
                  <v>7.270687116577853</v>
                </pt>
                <pt idx="27">
                  <v>-2.309014459154543</v>
                </pt>
                <pt idx="28">
                  <v>-1.709191900089532</v>
                </pt>
                <pt idx="29">
                  <v>-1.21809872459307</v>
                </pt>
                <pt idx="30">
                  <v>-0.8160256391873952</v>
                </pt>
                <pt idx="31">
                  <v>-0.4868360391808189</v>
                </pt>
                <pt idx="32">
                  <v>-0.2173183900619957</v>
                </pt>
                <pt idx="33">
                  <v>0.003343997768864959</v>
                </pt>
                <pt idx="34">
                  <v>0.184007080733612</v>
                </pt>
                <pt idx="35">
                  <v>0.3319215027027296</v>
                </pt>
                <pt idx="36">
                  <v>0.4530235887925995</v>
                </pt>
                <pt idx="37">
                  <v>0.5521735909362731</v>
                </pt>
                <pt idx="38">
                  <v>0.6333507468590467</v>
                </pt>
                <pt idx="39">
                  <v>0.6998129808604272</v>
                </pt>
                <pt idx="40">
                  <v>0.7542276557556233</v>
                </pt>
                <pt idx="41">
                  <v>0.7987786235110601</v>
                </pt>
                <pt idx="42">
                  <v>0.8352538708918225</v>
                </pt>
                <pt idx="43">
                  <v>0.8651172776485794</v>
                </pt>
                <pt idx="44">
                  <v>0.8895673671520132</v>
                </pt>
                <pt idx="45">
                  <v>0.9095854073439833</v>
                </pt>
                <pt idx="46">
                  <v>0.9259747924655004</v>
                </pt>
                <pt idx="47">
                  <v>0.9393932860885252</v>
                </pt>
                <pt idx="48">
                  <v>0.9503794194776765</v>
                </pt>
                <pt idx="49">
                  <v>0.9593741047407915</v>
                </pt>
                <pt idx="50">
                  <v>0.966738330179961</v>
                </pt>
                <pt idx="51">
                  <v>0.9727676480196079</v>
                </pt>
                <pt idx="52">
                  <v>0.9777040359550089</v>
                </pt>
                <pt idx="53">
                  <v>0.981745608566845</v>
                </pt>
                <pt idx="54">
                  <v>0.9850545683549532</v>
                </pt>
                <pt idx="55">
                  <v>0.9877637154941752</v>
                </pt>
                <pt idx="56">
                  <v>0.9899817775716695</v>
                </pt>
                <pt idx="57">
                  <v>0.9917977732067502</v>
                </pt>
                <pt idx="58">
                  <v>0.9932845846806462</v>
                </pt>
                <pt idx="59">
                  <v>0.9945018829583541</v>
                </pt>
                <pt idx="60">
                  <v>0.9954985224939827</v>
                </pt>
                <pt idx="61">
                  <v>0.9963145019315345</v>
                </pt>
                <pt idx="62">
                  <v>0.996982569390938</v>
                </pt>
                <pt idx="63">
                  <v>0.9975295367650823</v>
                </pt>
                <pt idx="64">
                  <v>0.9979773557752241</v>
                </pt>
                <pt idx="65">
                  <v>0.9983439989706406</v>
                </pt>
                <pt idx="66">
                  <v>0.9986441810301345</v>
                </pt>
                <pt idx="67">
                  <v>0.9988899493137646</v>
                </pt>
                <pt idx="68">
                  <v>0.9990911673657035</v>
                </pt>
                <pt idx="69">
                  <v>0.9992559107729004</v>
                </pt>
                <pt idx="70">
                  <v>0.9993907912667401</v>
                </pt>
                <pt idx="71">
                  <v>0.9995012220750361</v>
                </pt>
                <pt idx="72">
                  <v>0.9995916351738758</v>
                </pt>
                <pt idx="73">
                  <v>0.999665659158377</v>
                </pt>
                <pt idx="74">
                  <v>0.9997262648709526</v>
                </pt>
                <pt idx="75">
                  <v>0.9997758846316511</v>
                </pt>
                <pt idx="76">
                  <v>0.9998165098556955</v>
                </pt>
                <pt idx="77">
                  <v>0.9998497709759713</v>
                </pt>
                <pt idx="78">
                  <v>0.9998770028780228</v>
                </pt>
                <pt idx="79">
                  <v>0.9998992984736974</v>
                </pt>
                <pt idx="80">
                  <v>11</v>
                </pt>
                <pt idx="81">
                  <v>10.32024032404243</v>
                </pt>
                <pt idx="82">
                  <v>9.763700172633651</v>
                </pt>
                <pt idx="83">
                  <v>9.308043635352597</v>
                </pt>
                <pt idx="84">
                  <v>8.934983615439581</v>
                </pt>
                <pt idx="85">
                  <v>8.62954790439291</v>
                </pt>
                <pt idx="86">
                  <v>8.37947829467076</v>
                </pt>
                <pt idx="87">
                  <v>8.174738614781026</v>
                </pt>
                <pt idx="88">
                  <v>8.007111942479957</v>
                </pt>
                <pt idx="89">
                  <v>7.86987083083095</v>
                </pt>
                <pt idx="90">
                  <v>7.757507312137298</v>
                </pt>
                <pt idx="91">
                  <v>7.665511843858752</v>
                </pt>
                <pt idx="92">
                  <v>7.590192324835298</v>
                </pt>
                <pt idx="93">
                  <v>7.528525918303751</v>
                </pt>
                <pt idx="94">
                  <v>7.478037734844568</v>
                </pt>
                <pt idx="95">
                  <v>7.43670150637949</v>
                </pt>
                <pt idx="96">
                  <v>7.402858264918874</v>
                </pt>
                <pt idx="97">
                  <v>7.375149762351223</v>
                </pt>
                <pt idx="98">
                  <v>7.352463959177348</v>
                </pt>
                <pt idx="99">
                  <v>7.333890394460621</v>
                </pt>
                <pt idx="100">
                  <v>7.318683645832754</v>
                </pt>
                <pt idx="101">
                  <v>7.306233413076791</v>
                </pt>
                <pt idx="102">
                  <v>7.296040024636507</v>
                </pt>
                <pt idx="103">
                  <v>7.287694384042377</v>
                </pt>
                <pt idx="104">
                  <v>7.280861551433825</v>
                </pt>
                <pt idx="105">
                  <v>7.27526730124657</v>
                </pt>
                <pt idx="106">
                  <v>7.270687116577853</v>
                </pt>
                <pt idx="107">
                  <v>-2.309014459154549</v>
                </pt>
                <pt idx="108">
                  <v>-1.709191900089527</v>
                </pt>
                <pt idx="109">
                  <v>-1.218098724593068</v>
                </pt>
                <pt idx="110">
                  <v>-0.8160256391873952</v>
                </pt>
                <pt idx="111">
                  <v>-0.4868360391808206</v>
                </pt>
                <pt idx="112">
                  <v>-0.2173183900619975</v>
                </pt>
                <pt idx="113">
                  <v>0.003343997768866735</v>
                </pt>
                <pt idx="114">
                  <v>0.1840070807336129</v>
                </pt>
                <pt idx="115">
                  <v>0.3319215027027296</v>
                </pt>
                <pt idx="116">
                  <v>0.4530235887925986</v>
                </pt>
                <pt idx="117">
                  <v>0.5521735909362722</v>
                </pt>
                <pt idx="118">
                  <v>0.6333507468590467</v>
                </pt>
                <pt idx="119">
                  <v>0.6998129808604281</v>
                </pt>
                <pt idx="120">
                  <v>0.7542276557556233</v>
                </pt>
                <pt idx="121">
                  <v>0.7987786235110601</v>
                </pt>
                <pt idx="122">
                  <v>0.8352538708918225</v>
                </pt>
                <pt idx="123">
                  <v>0.8651172776485794</v>
                </pt>
                <pt idx="124">
                  <v>0.8895673671520132</v>
                </pt>
                <pt idx="125">
                  <v>0.9095854073439833</v>
                </pt>
                <pt idx="126">
                  <v>0.9259747924655004</v>
                </pt>
                <pt idx="127">
                  <v>0.9393932860885252</v>
                </pt>
                <pt idx="128">
                  <v>0.9503794194776765</v>
                </pt>
                <pt idx="129">
                  <v>0.9593741047407915</v>
                </pt>
                <pt idx="130">
                  <v>0.966738330179961</v>
                </pt>
                <pt idx="131">
                  <v>0.9727676480196079</v>
                </pt>
                <pt idx="132">
                  <v>0.9777040359550089</v>
                </pt>
                <pt idx="133">
                  <v>0.981745608566845</v>
                </pt>
                <pt idx="134">
                  <v>0.9850545683549532</v>
                </pt>
                <pt idx="135">
                  <v>0.9877637154941752</v>
                </pt>
                <pt idx="136">
                  <v>0.9899817775716695</v>
                </pt>
                <pt idx="137">
                  <v>0.9917977732067502</v>
                </pt>
                <pt idx="138">
                  <v>0.9932845846806462</v>
                </pt>
                <pt idx="139">
                  <v>0.9945018829583541</v>
                </pt>
                <pt idx="140">
                  <v>0.9954985224939827</v>
                </pt>
                <pt idx="141">
                  <v>0.9963145019315345</v>
                </pt>
                <pt idx="142">
                  <v>0.996982569390938</v>
                </pt>
                <pt idx="143">
                  <v>0.9975295367650823</v>
                </pt>
                <pt idx="144">
                  <v>0.9979773557752241</v>
                </pt>
                <pt idx="145">
                  <v>0.9983439989706406</v>
                </pt>
                <pt idx="146">
                  <v>0.9986441810301345</v>
                </pt>
                <pt idx="147">
                  <v>0.9988899493137646</v>
                </pt>
                <pt idx="148">
                  <v>0.9990911673657035</v>
                </pt>
                <pt idx="149">
                  <v>0.9992559107729004</v>
                </pt>
                <pt idx="150">
                  <v>0.9993907912667401</v>
                </pt>
                <pt idx="151">
                  <v>0.9995012220750361</v>
                </pt>
                <pt idx="152">
                  <v>0.9995916351738758</v>
                </pt>
                <pt idx="153">
                  <v>0.999665659158377</v>
                </pt>
                <pt idx="154">
                  <v>0.9997262648709526</v>
                </pt>
                <pt idx="155">
                  <v>0.9997758846316511</v>
                </pt>
                <pt idx="156">
                  <v>0.9998165098556955</v>
                </pt>
                <pt idx="157">
                  <v>0.9998497709759713</v>
                </pt>
                <pt idx="158">
                  <v>0.9998770028780228</v>
                </pt>
                <pt idx="159">
                  <v>0.9998992984736974</v>
                </pt>
                <pt idx="160">
                  <v>11</v>
                </pt>
                <pt idx="161">
                  <v>10.32024032404242</v>
                </pt>
                <pt idx="162">
                  <v>9.763700172633651</v>
                </pt>
                <pt idx="163">
                  <v>9.308043635352597</v>
                </pt>
                <pt idx="164">
                  <v>8.934983615439586</v>
                </pt>
                <pt idx="165">
                  <v>8.62954790439291</v>
                </pt>
                <pt idx="166">
                  <v>8.379478294670754</v>
                </pt>
                <pt idx="167">
                  <v>8.174738614781026</v>
                </pt>
                <pt idx="168">
                  <v>8.007111942479957</v>
                </pt>
                <pt idx="169">
                  <v>7.869870830830951</v>
                </pt>
                <pt idx="170">
                  <v>7.757507312137298</v>
                </pt>
                <pt idx="171">
                  <v>7.66551184385875</v>
                </pt>
                <pt idx="172">
                  <v>7.590192324835298</v>
                </pt>
                <pt idx="173">
                  <v>7.528525918303751</v>
                </pt>
                <pt idx="174">
                  <v>7.478037734844568</v>
                </pt>
                <pt idx="175">
                  <v>7.43670150637949</v>
                </pt>
                <pt idx="176">
                  <v>7.402858264918873</v>
                </pt>
                <pt idx="177">
                  <v>7.375149762351223</v>
                </pt>
                <pt idx="178">
                  <v>7.352463959177348</v>
                </pt>
                <pt idx="179">
                  <v>7.333890394460621</v>
                </pt>
                <pt idx="180">
                  <v>7.318683645832754</v>
                </pt>
                <pt idx="181">
                  <v>7.306233413076791</v>
                </pt>
                <pt idx="182">
                  <v>7.296040024636507</v>
                </pt>
                <pt idx="183">
                  <v>7.287694384042377</v>
                </pt>
                <pt idx="184">
                  <v>7.280861551433825</v>
                </pt>
                <pt idx="185">
                  <v>7.27526730124657</v>
                </pt>
                <pt idx="186">
                  <v>7.270687116577853</v>
                </pt>
                <pt idx="187">
                  <v>-2.309014459154549</v>
                </pt>
                <pt idx="188">
                  <v>-1.709191900089527</v>
                </pt>
                <pt idx="189">
                  <v>-1.218098724593077</v>
                </pt>
                <pt idx="190">
                  <v>-0.8160256391873952</v>
                </pt>
                <pt idx="191">
                  <v>-0.4868360391808153</v>
                </pt>
                <pt idx="192">
                  <v>-0.2173183900619975</v>
                </pt>
                <pt idx="193">
                  <v>0.003343997768866735</v>
                </pt>
                <pt idx="194">
                  <v>0.1840070807336103</v>
                </pt>
                <pt idx="195">
                  <v>0.3319215027027296</v>
                </pt>
                <pt idx="196">
                  <v>0.4530235887926013</v>
                </pt>
                <pt idx="197">
                  <v>0.5521735909362722</v>
                </pt>
                <pt idx="198">
                  <v>0.6333507468590467</v>
                </pt>
                <pt idx="199">
                  <v>0.6998129808604263</v>
                </pt>
                <pt idx="200">
                  <v>0.7542276557556233</v>
                </pt>
                <pt idx="201">
                  <v>0.798778623511061</v>
                </pt>
                <pt idx="202">
                  <v>0.8352538708918225</v>
                </pt>
                <pt idx="203">
                  <v>0.8651172776485794</v>
                </pt>
                <pt idx="204">
                  <v>0.8895673671520123</v>
                </pt>
                <pt idx="205">
                  <v>0.9095854073439833</v>
                </pt>
                <pt idx="206">
                  <v>0.9259747924655004</v>
                </pt>
                <pt idx="207">
                  <v>0.9393932860885252</v>
                </pt>
                <pt idx="208">
                  <v>0.9503794194776765</v>
                </pt>
                <pt idx="209">
                  <v>0.9593741047407915</v>
                </pt>
                <pt idx="210">
                  <v>0.966738330179961</v>
                </pt>
                <pt idx="211">
                  <v>0.9727676480196088</v>
                </pt>
                <pt idx="212">
                  <v>0.9777040359550089</v>
                </pt>
                <pt idx="213">
                  <v>0.981745608566845</v>
                </pt>
                <pt idx="214">
                  <v>0.9850545683549532</v>
                </pt>
                <pt idx="215">
                  <v>0.9877637154941752</v>
                </pt>
                <pt idx="216">
                  <v>0.9899817775716695</v>
                </pt>
                <pt idx="217">
                  <v>0.9917977732067502</v>
                </pt>
                <pt idx="218">
                  <v>0.9932845846806462</v>
                </pt>
                <pt idx="219">
                  <v>0.9945018829583541</v>
                </pt>
                <pt idx="220">
                  <v>0.9954985224939827</v>
                </pt>
                <pt idx="221">
                  <v>0.9963145019315345</v>
                </pt>
                <pt idx="222">
                  <v>0.996982569390938</v>
                </pt>
                <pt idx="223">
                  <v>0.9975295367650823</v>
                </pt>
                <pt idx="224">
                  <v>0.9979773557752241</v>
                </pt>
                <pt idx="225">
                  <v>0.9983439989706406</v>
                </pt>
                <pt idx="226">
                  <v>0.9986441810301345</v>
                </pt>
                <pt idx="227">
                  <v>0.9988899493137646</v>
                </pt>
                <pt idx="228">
                  <v>0.9990911673657035</v>
                </pt>
                <pt idx="229">
                  <v>0.9992559107729004</v>
                </pt>
                <pt idx="230">
                  <v>0.9993907912667401</v>
                </pt>
                <pt idx="231">
                  <v>0.9995012220750361</v>
                </pt>
                <pt idx="232">
                  <v>0.9995916351738758</v>
                </pt>
                <pt idx="233">
                  <v>0.999665659158377</v>
                </pt>
                <pt idx="234">
                  <v>0.9997262648709526</v>
                </pt>
                <pt idx="235">
                  <v>0.9997758846316511</v>
                </pt>
                <pt idx="236">
                  <v>0.9998165098556955</v>
                </pt>
                <pt idx="237">
                  <v>0.9998497709759713</v>
                </pt>
                <pt idx="238">
                  <v>0.9998770028780228</v>
                </pt>
                <pt idx="239">
                  <v>0.9998992984736974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Alveolar Pressure (Palv) — PSV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PSV!$I$28</f>
              <strCache>
                <ptCount val="1"/>
                <pt idx="0">
                  <v>Palv (cmH2O)</v>
                </pt>
              </strCache>
            </strRef>
          </tx>
          <spPr>
            <a:ln xmlns:a="http://schemas.openxmlformats.org/drawingml/2006/main" w="22000">
              <a:solidFill>
                <a:srgbClr val="92D05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PSV!$B$29:$B$268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PSV!$I$29:$I$268</f>
              <numCache>
                <formatCode>0.000</formatCode>
                <ptCount val="240"/>
                <pt idx="0">
                  <v>5</v>
                </pt>
                <pt idx="1">
                  <v>7.719038703830273</v>
                </pt>
                <pt idx="2">
                  <v>9.945199309465409</v>
                </pt>
                <pt idx="3">
                  <v>11.76782545858961</v>
                </pt>
                <pt idx="4">
                  <v>13.26006553824168</v>
                </pt>
                <pt idx="5">
                  <v>14.48180838242836</v>
                </pt>
                <pt idx="6">
                  <v>15.48208682131697</v>
                </pt>
                <pt idx="7">
                  <v>16.3010455408759</v>
                </pt>
                <pt idx="8">
                  <v>16.97155223008017</v>
                </pt>
                <pt idx="9">
                  <v>17.5205166766762</v>
                </pt>
                <pt idx="10">
                  <v>17.96997075145081</v>
                </pt>
                <pt idx="11">
                  <v>18.33795262456499</v>
                </pt>
                <pt idx="12">
                  <v>18.63923070065881</v>
                </pt>
                <pt idx="13">
                  <v>18.88589632678499</v>
                </pt>
                <pt idx="14">
                  <v>19.08784906062173</v>
                </pt>
                <pt idx="15">
                  <v>19.25319397448204</v>
                </pt>
                <pt idx="16">
                  <v>19.38856694032451</v>
                </pt>
                <pt idx="17">
                  <v>19.49940095059511</v>
                </pt>
                <pt idx="18">
                  <v>19.59014416329061</v>
                </pt>
                <pt idx="19">
                  <v>19.66443842215752</v>
                </pt>
                <pt idx="20">
                  <v>19.72526541666899</v>
                </pt>
                <pt idx="21">
                  <v>19.77506634769284</v>
                </pt>
                <pt idx="22">
                  <v>19.81583990145397</v>
                </pt>
                <pt idx="23">
                  <v>19.84922246383049</v>
                </pt>
                <pt idx="24">
                  <v>19.8765537942647</v>
                </pt>
                <pt idx="25">
                  <v>19.89893079501372</v>
                </pt>
                <pt idx="26">
                  <v>19.91725153368859</v>
                </pt>
                <pt idx="27">
                  <v>18.23605783661817</v>
                </pt>
                <pt idx="28">
                  <v>15.83676760035813</v>
                </pt>
                <pt idx="29">
                  <v>13.87239489837228</v>
                </pt>
                <pt idx="30">
                  <v>12.26410255674958</v>
                </pt>
                <pt idx="31">
                  <v>10.94734415672328</v>
                </pt>
                <pt idx="32">
                  <v>9.869273560247983</v>
                </pt>
                <pt idx="33">
                  <v>8.98662400892454</v>
                </pt>
                <pt idx="34">
                  <v>8.26397167706555</v>
                </pt>
                <pt idx="35">
                  <v>7.672313989189082</v>
                </pt>
                <pt idx="36">
                  <v>7.187905644829602</v>
                </pt>
                <pt idx="37">
                  <v>6.791305636254908</v>
                </pt>
                <pt idx="38">
                  <v>6.466597012563815</v>
                </pt>
                <pt idx="39">
                  <v>6.20074807655829</v>
                </pt>
                <pt idx="40">
                  <v>5.983089376977507</v>
                </pt>
                <pt idx="41">
                  <v>5.804885505955759</v>
                </pt>
                <pt idx="42">
                  <v>5.65898451643271</v>
                </pt>
                <pt idx="43">
                  <v>5.539530889405683</v>
                </pt>
                <pt idx="44">
                  <v>5.441730531391948</v>
                </pt>
                <pt idx="45">
                  <v>5.361658370624067</v>
                </pt>
                <pt idx="46">
                  <v>5.296100830137998</v>
                </pt>
                <pt idx="47">
                  <v>5.242426855645898</v>
                </pt>
                <pt idx="48">
                  <v>5.198482322089294</v>
                </pt>
                <pt idx="49">
                  <v>5.162503581036834</v>
                </pt>
                <pt idx="50">
                  <v>5.133046679280156</v>
                </pt>
                <pt idx="51">
                  <v>5.108929407921567</v>
                </pt>
                <pt idx="52">
                  <v>5.089183856179963</v>
                </pt>
                <pt idx="53">
                  <v>5.07301756573262</v>
                </pt>
                <pt idx="54">
                  <v>5.059781726580189</v>
                </pt>
                <pt idx="55">
                  <v>5.0489451380233</v>
                </pt>
                <pt idx="56">
                  <v>5.040072889713322</v>
                </pt>
                <pt idx="57">
                  <v>5.032808907172999</v>
                </pt>
                <pt idx="58">
                  <v>5.026861661277415</v>
                </pt>
                <pt idx="59">
                  <v>5.021992468166584</v>
                </pt>
                <pt idx="60">
                  <v>5.018005910024071</v>
                </pt>
                <pt idx="61">
                  <v>5.014741992273862</v>
                </pt>
                <pt idx="62">
                  <v>5.012069722436249</v>
                </pt>
                <pt idx="63">
                  <v>5.009881852939672</v>
                </pt>
                <pt idx="64">
                  <v>5.008090576899104</v>
                </pt>
                <pt idx="65">
                  <v>5.006624004117438</v>
                </pt>
                <pt idx="66">
                  <v>5.005423275879462</v>
                </pt>
                <pt idx="67">
                  <v>5.004440202744942</v>
                </pt>
                <pt idx="68">
                  <v>5.003635330537185</v>
                </pt>
                <pt idx="69">
                  <v>5.002976356908396</v>
                </pt>
                <pt idx="70">
                  <v>5.00243683493304</v>
                </pt>
                <pt idx="71">
                  <v>5.001995111699855</v>
                </pt>
                <pt idx="72">
                  <v>5.001633459304497</v>
                </pt>
                <pt idx="73">
                  <v>5.001337363366493</v>
                </pt>
                <pt idx="74">
                  <v>5.001094940516188</v>
                </pt>
                <pt idx="75">
                  <v>5.000896461473394</v>
                </pt>
                <pt idx="76">
                  <v>5.000733960577217</v>
                </pt>
                <pt idx="77">
                  <v>5.000600916096115</v>
                </pt>
                <pt idx="78">
                  <v>5.000491988487909</v>
                </pt>
                <pt idx="79">
                  <v>5.000402806105211</v>
                </pt>
                <pt idx="80">
                  <v>5</v>
                </pt>
                <pt idx="81">
                  <v>7.719038703830263</v>
                </pt>
                <pt idx="82">
                  <v>9.945199309465396</v>
                </pt>
                <pt idx="83">
                  <v>11.76782545858962</v>
                </pt>
                <pt idx="84">
                  <v>13.26006553824168</v>
                </pt>
                <pt idx="85">
                  <v>14.48180838242836</v>
                </pt>
                <pt idx="86">
                  <v>15.48208682131696</v>
                </pt>
                <pt idx="87">
                  <v>16.3010455408759</v>
                </pt>
                <pt idx="88">
                  <v>16.97155223008017</v>
                </pt>
                <pt idx="89">
                  <v>17.5205166766762</v>
                </pt>
                <pt idx="90">
                  <v>17.96997075145081</v>
                </pt>
                <pt idx="91">
                  <v>18.33795262456499</v>
                </pt>
                <pt idx="92">
                  <v>18.63923070065881</v>
                </pt>
                <pt idx="93">
                  <v>18.88589632678499</v>
                </pt>
                <pt idx="94">
                  <v>19.08784906062173</v>
                </pt>
                <pt idx="95">
                  <v>19.25319397448204</v>
                </pt>
                <pt idx="96">
                  <v>19.38856694032451</v>
                </pt>
                <pt idx="97">
                  <v>19.49940095059511</v>
                </pt>
                <pt idx="98">
                  <v>19.59014416329061</v>
                </pt>
                <pt idx="99">
                  <v>19.66443842215752</v>
                </pt>
                <pt idx="100">
                  <v>19.72526541666899</v>
                </pt>
                <pt idx="101">
                  <v>19.77506634769284</v>
                </pt>
                <pt idx="102">
                  <v>19.81583990145397</v>
                </pt>
                <pt idx="103">
                  <v>19.84922246383049</v>
                </pt>
                <pt idx="104">
                  <v>19.8765537942647</v>
                </pt>
                <pt idx="105">
                  <v>19.89893079501372</v>
                </pt>
                <pt idx="106">
                  <v>19.91725153368859</v>
                </pt>
                <pt idx="107">
                  <v>18.23605783661819</v>
                </pt>
                <pt idx="108">
                  <v>15.83676760035811</v>
                </pt>
                <pt idx="109">
                  <v>13.87239489837227</v>
                </pt>
                <pt idx="110">
                  <v>12.26410255674958</v>
                </pt>
                <pt idx="111">
                  <v>10.94734415672328</v>
                </pt>
                <pt idx="112">
                  <v>9.86927356024799</v>
                </pt>
                <pt idx="113">
                  <v>8.986624008924533</v>
                </pt>
                <pt idx="114">
                  <v>8.263971677065548</v>
                </pt>
                <pt idx="115">
                  <v>7.672313989189082</v>
                </pt>
                <pt idx="116">
                  <v>7.187905644829604</v>
                </pt>
                <pt idx="117">
                  <v>6.79130563625491</v>
                </pt>
                <pt idx="118">
                  <v>6.466597012563812</v>
                </pt>
                <pt idx="119">
                  <v>6.200748076558289</v>
                </pt>
                <pt idx="120">
                  <v>5.983089376977507</v>
                </pt>
                <pt idx="121">
                  <v>5.804885505955759</v>
                </pt>
                <pt idx="122">
                  <v>5.658984516432711</v>
                </pt>
                <pt idx="123">
                  <v>5.539530889405682</v>
                </pt>
                <pt idx="124">
                  <v>5.441730531391948</v>
                </pt>
                <pt idx="125">
                  <v>5.361658370624067</v>
                </pt>
                <pt idx="126">
                  <v>5.296100830137998</v>
                </pt>
                <pt idx="127">
                  <v>5.242426855645899</v>
                </pt>
                <pt idx="128">
                  <v>5.198482322089293</v>
                </pt>
                <pt idx="129">
                  <v>5.162503581036834</v>
                </pt>
                <pt idx="130">
                  <v>5.133046679280156</v>
                </pt>
                <pt idx="131">
                  <v>5.108929407921567</v>
                </pt>
                <pt idx="132">
                  <v>5.089183856179964</v>
                </pt>
                <pt idx="133">
                  <v>5.07301756573262</v>
                </pt>
                <pt idx="134">
                  <v>5.059781726580189</v>
                </pt>
                <pt idx="135">
                  <v>5.0489451380233</v>
                </pt>
                <pt idx="136">
                  <v>5.040072889713322</v>
                </pt>
                <pt idx="137">
                  <v>5.032808907172999</v>
                </pt>
                <pt idx="138">
                  <v>5.026861661277415</v>
                </pt>
                <pt idx="139">
                  <v>5.021992468166584</v>
                </pt>
                <pt idx="140">
                  <v>5.018005910024071</v>
                </pt>
                <pt idx="141">
                  <v>5.014741992273862</v>
                </pt>
                <pt idx="142">
                  <v>5.012069722436249</v>
                </pt>
                <pt idx="143">
                  <v>5.009881852939672</v>
                </pt>
                <pt idx="144">
                  <v>5.008090576899104</v>
                </pt>
                <pt idx="145">
                  <v>5.006624004117438</v>
                </pt>
                <pt idx="146">
                  <v>5.005423275879462</v>
                </pt>
                <pt idx="147">
                  <v>5.004440202744942</v>
                </pt>
                <pt idx="148">
                  <v>5.003635330537185</v>
                </pt>
                <pt idx="149">
                  <v>5.002976356908396</v>
                </pt>
                <pt idx="150">
                  <v>5.00243683493304</v>
                </pt>
                <pt idx="151">
                  <v>5.001995111699855</v>
                </pt>
                <pt idx="152">
                  <v>5.001633459304497</v>
                </pt>
                <pt idx="153">
                  <v>5.001337363366493</v>
                </pt>
                <pt idx="154">
                  <v>5.001094940516188</v>
                </pt>
                <pt idx="155">
                  <v>5.000896461473394</v>
                </pt>
                <pt idx="156">
                  <v>5.000733960577217</v>
                </pt>
                <pt idx="157">
                  <v>5.000600916096115</v>
                </pt>
                <pt idx="158">
                  <v>5.000491988487909</v>
                </pt>
                <pt idx="159">
                  <v>5.000402806105211</v>
                </pt>
                <pt idx="160">
                  <v>5</v>
                </pt>
                <pt idx="161">
                  <v>7.719038703830307</v>
                </pt>
                <pt idx="162">
                  <v>9.945199309465396</v>
                </pt>
                <pt idx="163">
                  <v>11.76782545858962</v>
                </pt>
                <pt idx="164">
                  <v>13.26006553824166</v>
                </pt>
                <pt idx="165">
                  <v>14.48180838242836</v>
                </pt>
                <pt idx="166">
                  <v>15.48208682131698</v>
                </pt>
                <pt idx="167">
                  <v>16.3010455408759</v>
                </pt>
                <pt idx="168">
                  <v>16.97155223008017</v>
                </pt>
                <pt idx="169">
                  <v>17.52051667667619</v>
                </pt>
                <pt idx="170">
                  <v>17.96997075145081</v>
                </pt>
                <pt idx="171">
                  <v>18.337952624565</v>
                </pt>
                <pt idx="172">
                  <v>18.63923070065881</v>
                </pt>
                <pt idx="173">
                  <v>18.88589632678499</v>
                </pt>
                <pt idx="174">
                  <v>19.08784906062173</v>
                </pt>
                <pt idx="175">
                  <v>19.25319397448204</v>
                </pt>
                <pt idx="176">
                  <v>19.38856694032451</v>
                </pt>
                <pt idx="177">
                  <v>19.49940095059511</v>
                </pt>
                <pt idx="178">
                  <v>19.59014416329061</v>
                </pt>
                <pt idx="179">
                  <v>19.66443842215752</v>
                </pt>
                <pt idx="180">
                  <v>19.72526541666899</v>
                </pt>
                <pt idx="181">
                  <v>19.77506634769284</v>
                </pt>
                <pt idx="182">
                  <v>19.81583990145397</v>
                </pt>
                <pt idx="183">
                  <v>19.84922246383049</v>
                </pt>
                <pt idx="184">
                  <v>19.8765537942647</v>
                </pt>
                <pt idx="185">
                  <v>19.89893079501372</v>
                </pt>
                <pt idx="186">
                  <v>19.91725153368859</v>
                </pt>
                <pt idx="187">
                  <v>18.23605783661819</v>
                </pt>
                <pt idx="188">
                  <v>15.83676760035811</v>
                </pt>
                <pt idx="189">
                  <v>13.8723948983723</v>
                </pt>
                <pt idx="190">
                  <v>12.26410255674958</v>
                </pt>
                <pt idx="191">
                  <v>10.94734415672326</v>
                </pt>
                <pt idx="192">
                  <v>9.86927356024799</v>
                </pt>
                <pt idx="193">
                  <v>8.986624008924533</v>
                </pt>
                <pt idx="194">
                  <v>8.263971677065559</v>
                </pt>
                <pt idx="195">
                  <v>7.672313989189082</v>
                </pt>
                <pt idx="196">
                  <v>7.187905644829597</v>
                </pt>
                <pt idx="197">
                  <v>6.79130563625491</v>
                </pt>
                <pt idx="198">
                  <v>6.466597012563812</v>
                </pt>
                <pt idx="199">
                  <v>6.200748076558293</v>
                </pt>
                <pt idx="200">
                  <v>5.983089376977507</v>
                </pt>
                <pt idx="201">
                  <v>5.804885505955756</v>
                </pt>
                <pt idx="202">
                  <v>5.658984516432711</v>
                </pt>
                <pt idx="203">
                  <v>5.539530889405682</v>
                </pt>
                <pt idx="204">
                  <v>5.441730531391949</v>
                </pt>
                <pt idx="205">
                  <v>5.361658370624067</v>
                </pt>
                <pt idx="206">
                  <v>5.296100830137997</v>
                </pt>
                <pt idx="207">
                  <v>5.242426855645899</v>
                </pt>
                <pt idx="208">
                  <v>5.198482322089293</v>
                </pt>
                <pt idx="209">
                  <v>5.162503581036835</v>
                </pt>
                <pt idx="210">
                  <v>5.133046679280156</v>
                </pt>
                <pt idx="211">
                  <v>5.108929407921567</v>
                </pt>
                <pt idx="212">
                  <v>5.089183856179964</v>
                </pt>
                <pt idx="213">
                  <v>5.07301756573262</v>
                </pt>
                <pt idx="214">
                  <v>5.059781726580189</v>
                </pt>
                <pt idx="215">
                  <v>5.0489451380233</v>
                </pt>
                <pt idx="216">
                  <v>5.040072889713322</v>
                </pt>
                <pt idx="217">
                  <v>5.032808907172999</v>
                </pt>
                <pt idx="218">
                  <v>5.026861661277415</v>
                </pt>
                <pt idx="219">
                  <v>5.021992468166584</v>
                </pt>
                <pt idx="220">
                  <v>5.018005910024071</v>
                </pt>
                <pt idx="221">
                  <v>5.014741992273862</v>
                </pt>
                <pt idx="222">
                  <v>5.012069722436249</v>
                </pt>
                <pt idx="223">
                  <v>5.009881852939672</v>
                </pt>
                <pt idx="224">
                  <v>5.008090576899104</v>
                </pt>
                <pt idx="225">
                  <v>5.006624004117438</v>
                </pt>
                <pt idx="226">
                  <v>5.005423275879462</v>
                </pt>
                <pt idx="227">
                  <v>5.004440202744942</v>
                </pt>
                <pt idx="228">
                  <v>5.003635330537185</v>
                </pt>
                <pt idx="229">
                  <v>5.002976356908396</v>
                </pt>
                <pt idx="230">
                  <v>5.00243683493304</v>
                </pt>
                <pt idx="231">
                  <v>5.001995111699855</v>
                </pt>
                <pt idx="232">
                  <v>5.001633459304497</v>
                </pt>
                <pt idx="233">
                  <v>5.001337363366493</v>
                </pt>
                <pt idx="234">
                  <v>5.001094940516188</v>
                </pt>
                <pt idx="235">
                  <v>5.000896461473394</v>
                </pt>
                <pt idx="236">
                  <v>5.000733960577217</v>
                </pt>
                <pt idx="237">
                  <v>5.000600916096115</v>
                </pt>
                <pt idx="238">
                  <v>5.000491988487909</v>
                </pt>
                <pt idx="239">
                  <v>5.000402806105211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6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P-V Loop (Paw) — PSV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PSV!$E$29:$E$108</f>
              <numCache>
                <formatCode>0.0</formatCode>
                <ptCount val="80"/>
                <pt idx="0">
                  <v>0</v>
                </pt>
                <pt idx="1">
                  <v>135.9519351915136</v>
                </pt>
                <pt idx="2">
                  <v>247.2599654732705</v>
                </pt>
                <pt idx="3">
                  <v>338.3912729294802</v>
                </pt>
                <pt idx="4">
                  <v>413.0032769120838</v>
                </pt>
                <pt idx="5">
                  <v>474.0904191214182</v>
                </pt>
                <pt idx="6">
                  <v>524.1043410658483</v>
                </pt>
                <pt idx="7">
                  <v>565.0522770437951</v>
                </pt>
                <pt idx="8">
                  <v>598.5776115040085</v>
                </pt>
                <pt idx="9">
                  <v>626.02583383381</v>
                </pt>
                <pt idx="10">
                  <v>648.4985375725405</v>
                </pt>
                <pt idx="11">
                  <v>666.8976312282496</v>
                </pt>
                <pt idx="12">
                  <v>681.9615350329407</v>
                </pt>
                <pt idx="13">
                  <v>694.2948163392496</v>
                </pt>
                <pt idx="14">
                  <v>704.3924530310866</v>
                </pt>
                <pt idx="15">
                  <v>712.6596987241021</v>
                </pt>
                <pt idx="16">
                  <v>719.4283470162254</v>
                </pt>
                <pt idx="17">
                  <v>724.9700475297554</v>
                </pt>
                <pt idx="18">
                  <v>729.5072081645307</v>
                </pt>
                <pt idx="19">
                  <v>733.2219211078758</v>
                </pt>
                <pt idx="20">
                  <v>736.2632708334494</v>
                </pt>
                <pt idx="21">
                  <v>738.7533173846417</v>
                </pt>
                <pt idx="22">
                  <v>740.7919950726987</v>
                </pt>
                <pt idx="23">
                  <v>742.4611231915248</v>
                </pt>
                <pt idx="24">
                  <v>743.827689713235</v>
                </pt>
                <pt idx="25">
                  <v>744.9465397506859</v>
                </pt>
                <pt idx="26">
                  <v>745.8625766844294</v>
                </pt>
                <pt idx="27">
                  <v>661.8028918309086</v>
                </pt>
                <pt idx="28">
                  <v>541.8383800179064</v>
                </pt>
                <pt idx="29">
                  <v>443.6197449186141</v>
                </pt>
                <pt idx="30">
                  <v>363.2051278374791</v>
                </pt>
                <pt idx="31">
                  <v>297.3672078361638</v>
                </pt>
                <pt idx="32">
                  <v>243.4636780123992</v>
                </pt>
                <pt idx="33">
                  <v>199.331200446227</v>
                </pt>
                <pt idx="34">
                  <v>163.1985838532775</v>
                </pt>
                <pt idx="35">
                  <v>133.615699459454</v>
                </pt>
                <pt idx="36">
                  <v>109.3952822414801</v>
                </pt>
                <pt idx="37">
                  <v>89.56528181274537</v>
                </pt>
                <pt idx="38">
                  <v>73.32985062819074</v>
                </pt>
                <pt idx="39">
                  <v>60.03740382791451</v>
                </pt>
                <pt idx="40">
                  <v>49.15446884887535</v>
                </pt>
                <pt idx="41">
                  <v>40.24427529778794</v>
                </pt>
                <pt idx="42">
                  <v>32.94922582163551</v>
                </pt>
                <pt idx="43">
                  <v>26.97654447028415</v>
                </pt>
                <pt idx="44">
                  <v>22.08652656959738</v>
                </pt>
                <pt idx="45">
                  <v>18.08291853120333</v>
                </pt>
                <pt idx="46">
                  <v>14.80504150689991</v>
                </pt>
                <pt idx="47">
                  <v>12.12134278229493</v>
                </pt>
                <pt idx="48">
                  <v>9.924116104464694</v>
                </pt>
                <pt idx="49">
                  <v>8.125179051841698</v>
                </pt>
                <pt idx="50">
                  <v>6.652333964007801</v>
                </pt>
                <pt idx="51">
                  <v>5.446470396078347</v>
                </pt>
                <pt idx="52">
                  <v>4.459192808998155</v>
                </pt>
                <pt idx="53">
                  <v>3.650878286630983</v>
                </pt>
                <pt idx="54">
                  <v>2.989086329009433</v>
                </pt>
                <pt idx="55">
                  <v>2.447256901164995</v>
                </pt>
                <pt idx="56">
                  <v>2.003644485666106</v>
                </pt>
                <pt idx="57">
                  <v>1.640445358649955</v>
                </pt>
                <pt idx="58">
                  <v>1.343083063870759</v>
                </pt>
                <pt idx="59">
                  <v>1.099623408329188</v>
                </pt>
                <pt idx="60">
                  <v>0.9002955012035342</v>
                </pt>
                <pt idx="61">
                  <v>0.7370996136930892</v>
                </pt>
                <pt idx="62">
                  <v>0.6034861218124318</v>
                </pt>
                <pt idx="63">
                  <v>0.4940926469836033</v>
                </pt>
                <pt idx="64">
                  <v>0.4045288449551785</v>
                </pt>
                <pt idx="65">
                  <v>0.3312002058719197</v>
                </pt>
                <pt idx="66">
                  <v>0.2711637939730996</v>
                </pt>
                <pt idx="67">
                  <v>0.2220101372470782</v>
                </pt>
                <pt idx="68">
                  <v>0.1817665268592465</v>
                </pt>
                <pt idx="69">
                  <v>0.1488178454198402</v>
                </pt>
                <pt idx="70">
                  <v>0.1218417466520286</v>
                </pt>
                <pt idx="71">
                  <v>0.09975558499275211</v>
                </pt>
                <pt idx="72">
                  <v>0.08167296522485033</v>
                </pt>
                <pt idx="73">
                  <v>0.06686816832465359</v>
                </pt>
                <pt idx="74">
                  <v>0.05474702580938891</v>
                </pt>
                <pt idx="75">
                  <v>0.04482307366970073</v>
                </pt>
                <pt idx="76">
                  <v>0.03669802886086397</v>
                </pt>
                <pt idx="77">
                  <v>0.03004580480573258</v>
                </pt>
                <pt idx="78">
                  <v>0.0245994243954315</v>
                </pt>
                <pt idx="79">
                  <v>0.02014030526055653</v>
                </pt>
              </numCache>
            </numRef>
          </xVal>
          <yVal>
            <numRef>
              <f>PSV!$C$29:$C$108</f>
              <numCache>
                <formatCode>0.000</formatCode>
                <ptCount val="80"/>
                <pt idx="0">
                  <v>15</v>
                </pt>
                <pt idx="1">
                  <v>15</v>
                </pt>
                <pt idx="2">
                  <v>15</v>
                </pt>
                <pt idx="3">
                  <v>15</v>
                </pt>
                <pt idx="4">
                  <v>15</v>
                </pt>
                <pt idx="5">
                  <v>15</v>
                </pt>
                <pt idx="6">
                  <v>15</v>
                </pt>
                <pt idx="7">
                  <v>15</v>
                </pt>
                <pt idx="8">
                  <v>15</v>
                </pt>
                <pt idx="9">
                  <v>15</v>
                </pt>
                <pt idx="10">
                  <v>15</v>
                </pt>
                <pt idx="11">
                  <v>15</v>
                </pt>
                <pt idx="12">
                  <v>15</v>
                </pt>
                <pt idx="13">
                  <v>15</v>
                </pt>
                <pt idx="14">
                  <v>15</v>
                </pt>
                <pt idx="15">
                  <v>15</v>
                </pt>
                <pt idx="16">
                  <v>15</v>
                </pt>
                <pt idx="17">
                  <v>15</v>
                </pt>
                <pt idx="18">
                  <v>15</v>
                </pt>
                <pt idx="19">
                  <v>15</v>
                </pt>
                <pt idx="20">
                  <v>15</v>
                </pt>
                <pt idx="21">
                  <v>15</v>
                </pt>
                <pt idx="22">
                  <v>15</v>
                </pt>
                <pt idx="23">
                  <v>15</v>
                </pt>
                <pt idx="24">
                  <v>15</v>
                </pt>
                <pt idx="25">
                  <v>15</v>
                </pt>
                <pt idx="26">
                  <v>15</v>
                </pt>
                <pt idx="27">
                  <v>5</v>
                </pt>
                <pt idx="28">
                  <v>5</v>
                </pt>
                <pt idx="29">
                  <v>5</v>
                </pt>
                <pt idx="30">
                  <v>5</v>
                </pt>
                <pt idx="31">
                  <v>5</v>
                </pt>
                <pt idx="32">
                  <v>5</v>
                </pt>
                <pt idx="33">
                  <v>5</v>
                </pt>
                <pt idx="34">
                  <v>5</v>
                </pt>
                <pt idx="35">
                  <v>5</v>
                </pt>
                <pt idx="36">
                  <v>5</v>
                </pt>
                <pt idx="37">
                  <v>5</v>
                </pt>
                <pt idx="38">
                  <v>5</v>
                </pt>
                <pt idx="39">
                  <v>5</v>
                </pt>
                <pt idx="40">
                  <v>5</v>
                </pt>
                <pt idx="41">
                  <v>5</v>
                </pt>
                <pt idx="42">
                  <v>5</v>
                </pt>
                <pt idx="43">
                  <v>5</v>
                </pt>
                <pt idx="44">
                  <v>5</v>
                </pt>
                <pt idx="45">
                  <v>5</v>
                </pt>
                <pt idx="46">
                  <v>5</v>
                </pt>
                <pt idx="47">
                  <v>5</v>
                </pt>
                <pt idx="48">
                  <v>5</v>
                </pt>
                <pt idx="49">
                  <v>5</v>
                </pt>
                <pt idx="50">
                  <v>5</v>
                </pt>
                <pt idx="51">
                  <v>5</v>
                </pt>
                <pt idx="52">
                  <v>5</v>
                </pt>
                <pt idx="53">
                  <v>5</v>
                </pt>
                <pt idx="54">
                  <v>5</v>
                </pt>
                <pt idx="55">
                  <v>5</v>
                </pt>
                <pt idx="56">
                  <v>5</v>
                </pt>
                <pt idx="57">
                  <v>5</v>
                </pt>
                <pt idx="58">
                  <v>5</v>
                </pt>
                <pt idx="59">
                  <v>5</v>
                </pt>
                <pt idx="60">
                  <v>5</v>
                </pt>
                <pt idx="61">
                  <v>5</v>
                </pt>
                <pt idx="62">
                  <v>5</v>
                </pt>
                <pt idx="63">
                  <v>5</v>
                </pt>
                <pt idx="64">
                  <v>5</v>
                </pt>
                <pt idx="65">
                  <v>5</v>
                </pt>
                <pt idx="66">
                  <v>5</v>
                </pt>
                <pt idx="67">
                  <v>5</v>
                </pt>
                <pt idx="68">
                  <v>5</v>
                </pt>
                <pt idx="69">
                  <v>5</v>
                </pt>
                <pt idx="70">
                  <v>5</v>
                </pt>
                <pt idx="71">
                  <v>5</v>
                </pt>
                <pt idx="72">
                  <v>5</v>
                </pt>
                <pt idx="73">
                  <v>5</v>
                </pt>
                <pt idx="74">
                  <v>5</v>
                </pt>
                <pt idx="75">
                  <v>5</v>
                </pt>
                <pt idx="76">
                  <v>5</v>
                </pt>
                <pt idx="77">
                  <v>5</v>
                </pt>
                <pt idx="78">
                  <v>5</v>
                </pt>
                <pt idx="79">
                  <v>5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27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P-V Loop — PSV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PSV!$E$29:$E$108</f>
              <numCache>
                <formatCode>0.0</formatCode>
                <ptCount val="80"/>
                <pt idx="0">
                  <v>0</v>
                </pt>
                <pt idx="1">
                  <v>135.9519351915136</v>
                </pt>
                <pt idx="2">
                  <v>247.2599654732705</v>
                </pt>
                <pt idx="3">
                  <v>338.3912729294802</v>
                </pt>
                <pt idx="4">
                  <v>413.0032769120838</v>
                </pt>
                <pt idx="5">
                  <v>474.0904191214182</v>
                </pt>
                <pt idx="6">
                  <v>524.1043410658483</v>
                </pt>
                <pt idx="7">
                  <v>565.0522770437951</v>
                </pt>
                <pt idx="8">
                  <v>598.5776115040085</v>
                </pt>
                <pt idx="9">
                  <v>626.02583383381</v>
                </pt>
                <pt idx="10">
                  <v>648.4985375725405</v>
                </pt>
                <pt idx="11">
                  <v>666.8976312282496</v>
                </pt>
                <pt idx="12">
                  <v>681.9615350329407</v>
                </pt>
                <pt idx="13">
                  <v>694.2948163392496</v>
                </pt>
                <pt idx="14">
                  <v>704.3924530310866</v>
                </pt>
                <pt idx="15">
                  <v>712.6596987241021</v>
                </pt>
                <pt idx="16">
                  <v>719.4283470162254</v>
                </pt>
                <pt idx="17">
                  <v>724.9700475297554</v>
                </pt>
                <pt idx="18">
                  <v>729.5072081645307</v>
                </pt>
                <pt idx="19">
                  <v>733.2219211078758</v>
                </pt>
                <pt idx="20">
                  <v>736.2632708334494</v>
                </pt>
                <pt idx="21">
                  <v>738.7533173846417</v>
                </pt>
                <pt idx="22">
                  <v>740.7919950726987</v>
                </pt>
                <pt idx="23">
                  <v>742.4611231915248</v>
                </pt>
                <pt idx="24">
                  <v>743.827689713235</v>
                </pt>
                <pt idx="25">
                  <v>744.9465397506859</v>
                </pt>
                <pt idx="26">
                  <v>745.8625766844294</v>
                </pt>
                <pt idx="27">
                  <v>661.8028918309086</v>
                </pt>
                <pt idx="28">
                  <v>541.8383800179064</v>
                </pt>
                <pt idx="29">
                  <v>443.6197449186141</v>
                </pt>
                <pt idx="30">
                  <v>363.2051278374791</v>
                </pt>
                <pt idx="31">
                  <v>297.3672078361638</v>
                </pt>
                <pt idx="32">
                  <v>243.4636780123992</v>
                </pt>
                <pt idx="33">
                  <v>199.331200446227</v>
                </pt>
                <pt idx="34">
                  <v>163.1985838532775</v>
                </pt>
                <pt idx="35">
                  <v>133.615699459454</v>
                </pt>
                <pt idx="36">
                  <v>109.3952822414801</v>
                </pt>
                <pt idx="37">
                  <v>89.56528181274537</v>
                </pt>
                <pt idx="38">
                  <v>73.32985062819074</v>
                </pt>
                <pt idx="39">
                  <v>60.03740382791451</v>
                </pt>
                <pt idx="40">
                  <v>49.15446884887535</v>
                </pt>
                <pt idx="41">
                  <v>40.24427529778794</v>
                </pt>
                <pt idx="42">
                  <v>32.94922582163551</v>
                </pt>
                <pt idx="43">
                  <v>26.97654447028415</v>
                </pt>
                <pt idx="44">
                  <v>22.08652656959738</v>
                </pt>
                <pt idx="45">
                  <v>18.08291853120333</v>
                </pt>
                <pt idx="46">
                  <v>14.80504150689991</v>
                </pt>
                <pt idx="47">
                  <v>12.12134278229493</v>
                </pt>
                <pt idx="48">
                  <v>9.924116104464694</v>
                </pt>
                <pt idx="49">
                  <v>8.125179051841698</v>
                </pt>
                <pt idx="50">
                  <v>6.652333964007801</v>
                </pt>
                <pt idx="51">
                  <v>5.446470396078347</v>
                </pt>
                <pt idx="52">
                  <v>4.459192808998155</v>
                </pt>
                <pt idx="53">
                  <v>3.650878286630983</v>
                </pt>
                <pt idx="54">
                  <v>2.989086329009433</v>
                </pt>
                <pt idx="55">
                  <v>2.447256901164995</v>
                </pt>
                <pt idx="56">
                  <v>2.003644485666106</v>
                </pt>
                <pt idx="57">
                  <v>1.640445358649955</v>
                </pt>
                <pt idx="58">
                  <v>1.343083063870759</v>
                </pt>
                <pt idx="59">
                  <v>1.099623408329188</v>
                </pt>
                <pt idx="60">
                  <v>0.9002955012035342</v>
                </pt>
                <pt idx="61">
                  <v>0.7370996136930892</v>
                </pt>
                <pt idx="62">
                  <v>0.6034861218124318</v>
                </pt>
                <pt idx="63">
                  <v>0.4940926469836033</v>
                </pt>
                <pt idx="64">
                  <v>0.4045288449551785</v>
                </pt>
                <pt idx="65">
                  <v>0.3312002058719197</v>
                </pt>
                <pt idx="66">
                  <v>0.2711637939730996</v>
                </pt>
                <pt idx="67">
                  <v>0.2220101372470782</v>
                </pt>
                <pt idx="68">
                  <v>0.1817665268592465</v>
                </pt>
                <pt idx="69">
                  <v>0.1488178454198402</v>
                </pt>
                <pt idx="70">
                  <v>0.1218417466520286</v>
                </pt>
                <pt idx="71">
                  <v>0.09975558499275211</v>
                </pt>
                <pt idx="72">
                  <v>0.08167296522485033</v>
                </pt>
                <pt idx="73">
                  <v>0.06686816832465359</v>
                </pt>
                <pt idx="74">
                  <v>0.05474702580938891</v>
                </pt>
                <pt idx="75">
                  <v>0.04482307366970073</v>
                </pt>
                <pt idx="76">
                  <v>0.03669802886086397</v>
                </pt>
                <pt idx="77">
                  <v>0.03004580480573258</v>
                </pt>
                <pt idx="78">
                  <v>0.0245994243954315</v>
                </pt>
                <pt idx="79">
                  <v>0.02014030526055653</v>
                </pt>
              </numCache>
            </numRef>
          </xVal>
          <yVal>
            <numRef>
              <f>PSV!$H$29:$H$108</f>
              <numCache>
                <formatCode>0.000</formatCode>
                <ptCount val="80"/>
                <pt idx="0">
                  <v>11</v>
                </pt>
                <pt idx="1">
                  <v>10.32024032404243</v>
                </pt>
                <pt idx="2">
                  <v>9.763700172633648</v>
                </pt>
                <pt idx="3">
                  <v>9.308043635352599</v>
                </pt>
                <pt idx="4">
                  <v>8.934983615439581</v>
                </pt>
                <pt idx="5">
                  <v>8.62954790439291</v>
                </pt>
                <pt idx="6">
                  <v>8.379478294670758</v>
                </pt>
                <pt idx="7">
                  <v>8.174738614781024</v>
                </pt>
                <pt idx="8">
                  <v>8.007111942479957</v>
                </pt>
                <pt idx="9">
                  <v>7.86987083083095</v>
                </pt>
                <pt idx="10">
                  <v>7.757507312137298</v>
                </pt>
                <pt idx="11">
                  <v>7.665511843858752</v>
                </pt>
                <pt idx="12">
                  <v>7.590192324835296</v>
                </pt>
                <pt idx="13">
                  <v>7.528525918303752</v>
                </pt>
                <pt idx="14">
                  <v>7.478037734844568</v>
                </pt>
                <pt idx="15">
                  <v>7.43670150637949</v>
                </pt>
                <pt idx="16">
                  <v>7.402858264918873</v>
                </pt>
                <pt idx="17">
                  <v>7.375149762351223</v>
                </pt>
                <pt idx="18">
                  <v>7.352463959177348</v>
                </pt>
                <pt idx="19">
                  <v>7.333890394460621</v>
                </pt>
                <pt idx="20">
                  <v>7.318683645832754</v>
                </pt>
                <pt idx="21">
                  <v>7.306233413076791</v>
                </pt>
                <pt idx="22">
                  <v>7.296040024636507</v>
                </pt>
                <pt idx="23">
                  <v>7.287694384042377</v>
                </pt>
                <pt idx="24">
                  <v>7.280861551433825</v>
                </pt>
                <pt idx="25">
                  <v>7.27526730124657</v>
                </pt>
                <pt idx="26">
                  <v>7.270687116577853</v>
                </pt>
                <pt idx="27">
                  <v>-2.309014459154543</v>
                </pt>
                <pt idx="28">
                  <v>-1.709191900089532</v>
                </pt>
                <pt idx="29">
                  <v>-1.21809872459307</v>
                </pt>
                <pt idx="30">
                  <v>-0.8160256391873952</v>
                </pt>
                <pt idx="31">
                  <v>-0.4868360391808189</v>
                </pt>
                <pt idx="32">
                  <v>-0.2173183900619957</v>
                </pt>
                <pt idx="33">
                  <v>0.003343997768864959</v>
                </pt>
                <pt idx="34">
                  <v>0.184007080733612</v>
                </pt>
                <pt idx="35">
                  <v>0.3319215027027296</v>
                </pt>
                <pt idx="36">
                  <v>0.4530235887925995</v>
                </pt>
                <pt idx="37">
                  <v>0.5521735909362731</v>
                </pt>
                <pt idx="38">
                  <v>0.6333507468590467</v>
                </pt>
                <pt idx="39">
                  <v>0.6998129808604272</v>
                </pt>
                <pt idx="40">
                  <v>0.7542276557556233</v>
                </pt>
                <pt idx="41">
                  <v>0.7987786235110601</v>
                </pt>
                <pt idx="42">
                  <v>0.8352538708918225</v>
                </pt>
                <pt idx="43">
                  <v>0.8651172776485794</v>
                </pt>
                <pt idx="44">
                  <v>0.8895673671520132</v>
                </pt>
                <pt idx="45">
                  <v>0.9095854073439833</v>
                </pt>
                <pt idx="46">
                  <v>0.9259747924655004</v>
                </pt>
                <pt idx="47">
                  <v>0.9393932860885252</v>
                </pt>
                <pt idx="48">
                  <v>0.9503794194776765</v>
                </pt>
                <pt idx="49">
                  <v>0.9593741047407915</v>
                </pt>
                <pt idx="50">
                  <v>0.966738330179961</v>
                </pt>
                <pt idx="51">
                  <v>0.9727676480196079</v>
                </pt>
                <pt idx="52">
                  <v>0.9777040359550089</v>
                </pt>
                <pt idx="53">
                  <v>0.981745608566845</v>
                </pt>
                <pt idx="54">
                  <v>0.9850545683549532</v>
                </pt>
                <pt idx="55">
                  <v>0.9877637154941752</v>
                </pt>
                <pt idx="56">
                  <v>0.9899817775716695</v>
                </pt>
                <pt idx="57">
                  <v>0.9917977732067502</v>
                </pt>
                <pt idx="58">
                  <v>0.9932845846806462</v>
                </pt>
                <pt idx="59">
                  <v>0.9945018829583541</v>
                </pt>
                <pt idx="60">
                  <v>0.9954985224939827</v>
                </pt>
                <pt idx="61">
                  <v>0.9963145019315345</v>
                </pt>
                <pt idx="62">
                  <v>0.996982569390938</v>
                </pt>
                <pt idx="63">
                  <v>0.9975295367650823</v>
                </pt>
                <pt idx="64">
                  <v>0.9979773557752241</v>
                </pt>
                <pt idx="65">
                  <v>0.9983439989706406</v>
                </pt>
                <pt idx="66">
                  <v>0.9986441810301345</v>
                </pt>
                <pt idx="67">
                  <v>0.9988899493137646</v>
                </pt>
                <pt idx="68">
                  <v>0.9990911673657035</v>
                </pt>
                <pt idx="69">
                  <v>0.9992559107729004</v>
                </pt>
                <pt idx="70">
                  <v>0.9993907912667401</v>
                </pt>
                <pt idx="71">
                  <v>0.9995012220750361</v>
                </pt>
                <pt idx="72">
                  <v>0.9995916351738758</v>
                </pt>
                <pt idx="73">
                  <v>0.999665659158377</v>
                </pt>
                <pt idx="74">
                  <v>0.9997262648709526</v>
                </pt>
                <pt idx="75">
                  <v>0.9997758846316511</v>
                </pt>
                <pt idx="76">
                  <v>0.9998165098556955</v>
                </pt>
                <pt idx="77">
                  <v>0.9998497709759713</v>
                </pt>
                <pt idx="78">
                  <v>0.9998770028780228</v>
                </pt>
                <pt idx="79">
                  <v>0.9998992984736974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28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Airway Pressure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APRV!$C$25</f>
              <strCache>
                <ptCount val="1"/>
                <pt idx="0">
                  <v>Paw (cmH2O)</v>
                </pt>
              </strCache>
            </strRef>
          </tx>
          <spPr>
            <a:ln xmlns:a="http://schemas.openxmlformats.org/drawingml/2006/main" w="22000">
              <a:solidFill>
                <a:srgbClr val="ED7D3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APRV!$C$26:$C$265</f>
              <numCache>
                <formatCode>0.000</formatCode>
                <ptCount val="240"/>
                <pt idx="0">
                  <v>25</v>
                </pt>
                <pt idx="1">
                  <v>25</v>
                </pt>
                <pt idx="2">
                  <v>25</v>
                </pt>
                <pt idx="3">
                  <v>25</v>
                </pt>
                <pt idx="4">
                  <v>25</v>
                </pt>
                <pt idx="5">
                  <v>25</v>
                </pt>
                <pt idx="6">
                  <v>25</v>
                </pt>
                <pt idx="7">
                  <v>25</v>
                </pt>
                <pt idx="8">
                  <v>25</v>
                </pt>
                <pt idx="9">
                  <v>25</v>
                </pt>
                <pt idx="10">
                  <v>25</v>
                </pt>
                <pt idx="11">
                  <v>25</v>
                </pt>
                <pt idx="12">
                  <v>25</v>
                </pt>
                <pt idx="13">
                  <v>25</v>
                </pt>
                <pt idx="14">
                  <v>25</v>
                </pt>
                <pt idx="15">
                  <v>25</v>
                </pt>
                <pt idx="16">
                  <v>25</v>
                </pt>
                <pt idx="17">
                  <v>25</v>
                </pt>
                <pt idx="18">
                  <v>25</v>
                </pt>
                <pt idx="19">
                  <v>25</v>
                </pt>
                <pt idx="20">
                  <v>25</v>
                </pt>
                <pt idx="21">
                  <v>25</v>
                </pt>
                <pt idx="22">
                  <v>25</v>
                </pt>
                <pt idx="23">
                  <v>25</v>
                </pt>
                <pt idx="24">
                  <v>25</v>
                </pt>
                <pt idx="25">
                  <v>25</v>
                </pt>
                <pt idx="26">
                  <v>25</v>
                </pt>
                <pt idx="27">
                  <v>25</v>
                </pt>
                <pt idx="28">
                  <v>25</v>
                </pt>
                <pt idx="29">
                  <v>25</v>
                </pt>
                <pt idx="30">
                  <v>25</v>
                </pt>
                <pt idx="31">
                  <v>25</v>
                </pt>
                <pt idx="32">
                  <v>25</v>
                </pt>
                <pt idx="33">
                  <v>25</v>
                </pt>
                <pt idx="34">
                  <v>25</v>
                </pt>
                <pt idx="35">
                  <v>25</v>
                </pt>
                <pt idx="36">
                  <v>25</v>
                </pt>
                <pt idx="37">
                  <v>25</v>
                </pt>
                <pt idx="38">
                  <v>25</v>
                </pt>
                <pt idx="39">
                  <v>25</v>
                </pt>
                <pt idx="40">
                  <v>25</v>
                </pt>
                <pt idx="41">
                  <v>25</v>
                </pt>
                <pt idx="42">
                  <v>25</v>
                </pt>
                <pt idx="43">
                  <v>25</v>
                </pt>
                <pt idx="44">
                  <v>25</v>
                </pt>
                <pt idx="45">
                  <v>25</v>
                </pt>
                <pt idx="46">
                  <v>25</v>
                </pt>
                <pt idx="47">
                  <v>25</v>
                </pt>
                <pt idx="48">
                  <v>25</v>
                </pt>
                <pt idx="49">
                  <v>25</v>
                </pt>
                <pt idx="50">
                  <v>25</v>
                </pt>
                <pt idx="51">
                  <v>25</v>
                </pt>
                <pt idx="52">
                  <v>25</v>
                </pt>
                <pt idx="53">
                  <v>25</v>
                </pt>
                <pt idx="54">
                  <v>25</v>
                </pt>
                <pt idx="55">
                  <v>25</v>
                </pt>
                <pt idx="56">
                  <v>25</v>
                </pt>
                <pt idx="57">
                  <v>25</v>
                </pt>
                <pt idx="58">
                  <v>25</v>
                </pt>
                <pt idx="59">
                  <v>25</v>
                </pt>
                <pt idx="60">
                  <v>25</v>
                </pt>
                <pt idx="61">
                  <v>25</v>
                </pt>
                <pt idx="62">
                  <v>25</v>
                </pt>
                <pt idx="63">
                  <v>25</v>
                </pt>
                <pt idx="64">
                  <v>25</v>
                </pt>
                <pt idx="65">
                  <v>25</v>
                </pt>
                <pt idx="66">
                  <v>25</v>
                </pt>
                <pt idx="67">
                  <v>25</v>
                </pt>
                <pt idx="68">
                  <v>25</v>
                </pt>
                <pt idx="69">
                  <v>25</v>
                </pt>
                <pt idx="70">
                  <v>25</v>
                </pt>
                <pt idx="71">
                  <v>25</v>
                </pt>
                <pt idx="72">
                  <v>25</v>
                </pt>
                <pt idx="73">
                  <v>25</v>
                </pt>
                <pt idx="74">
                  <v>25</v>
                </pt>
                <pt idx="75">
                  <v>25</v>
                </pt>
                <pt idx="76">
                  <v>25</v>
                </pt>
                <pt idx="77">
                  <v>0</v>
                </pt>
                <pt idx="78">
                  <v>0</v>
                </pt>
                <pt idx="79">
                  <v>0</v>
                </pt>
                <pt idx="80">
                  <v>25</v>
                </pt>
                <pt idx="81">
                  <v>25</v>
                </pt>
                <pt idx="82">
                  <v>25</v>
                </pt>
                <pt idx="83">
                  <v>25</v>
                </pt>
                <pt idx="84">
                  <v>25</v>
                </pt>
                <pt idx="85">
                  <v>25</v>
                </pt>
                <pt idx="86">
                  <v>25</v>
                </pt>
                <pt idx="87">
                  <v>25</v>
                </pt>
                <pt idx="88">
                  <v>25</v>
                </pt>
                <pt idx="89">
                  <v>25</v>
                </pt>
                <pt idx="90">
                  <v>25</v>
                </pt>
                <pt idx="91">
                  <v>25</v>
                </pt>
                <pt idx="92">
                  <v>25</v>
                </pt>
                <pt idx="93">
                  <v>25</v>
                </pt>
                <pt idx="94">
                  <v>25</v>
                </pt>
                <pt idx="95">
                  <v>25</v>
                </pt>
                <pt idx="96">
                  <v>25</v>
                </pt>
                <pt idx="97">
                  <v>25</v>
                </pt>
                <pt idx="98">
                  <v>25</v>
                </pt>
                <pt idx="99">
                  <v>25</v>
                </pt>
                <pt idx="100">
                  <v>25</v>
                </pt>
                <pt idx="101">
                  <v>25</v>
                </pt>
                <pt idx="102">
                  <v>25</v>
                </pt>
                <pt idx="103">
                  <v>25</v>
                </pt>
                <pt idx="104">
                  <v>25</v>
                </pt>
                <pt idx="105">
                  <v>25</v>
                </pt>
                <pt idx="106">
                  <v>25</v>
                </pt>
                <pt idx="107">
                  <v>25</v>
                </pt>
                <pt idx="108">
                  <v>25</v>
                </pt>
                <pt idx="109">
                  <v>25</v>
                </pt>
                <pt idx="110">
                  <v>25</v>
                </pt>
                <pt idx="111">
                  <v>25</v>
                </pt>
                <pt idx="112">
                  <v>25</v>
                </pt>
                <pt idx="113">
                  <v>25</v>
                </pt>
                <pt idx="114">
                  <v>25</v>
                </pt>
                <pt idx="115">
                  <v>25</v>
                </pt>
                <pt idx="116">
                  <v>25</v>
                </pt>
                <pt idx="117">
                  <v>25</v>
                </pt>
                <pt idx="118">
                  <v>25</v>
                </pt>
                <pt idx="119">
                  <v>25</v>
                </pt>
                <pt idx="120">
                  <v>25</v>
                </pt>
                <pt idx="121">
                  <v>25</v>
                </pt>
                <pt idx="122">
                  <v>25</v>
                </pt>
                <pt idx="123">
                  <v>25</v>
                </pt>
                <pt idx="124">
                  <v>25</v>
                </pt>
                <pt idx="125">
                  <v>25</v>
                </pt>
                <pt idx="126">
                  <v>25</v>
                </pt>
                <pt idx="127">
                  <v>25</v>
                </pt>
                <pt idx="128">
                  <v>25</v>
                </pt>
                <pt idx="129">
                  <v>25</v>
                </pt>
                <pt idx="130">
                  <v>25</v>
                </pt>
                <pt idx="131">
                  <v>25</v>
                </pt>
                <pt idx="132">
                  <v>25</v>
                </pt>
                <pt idx="133">
                  <v>25</v>
                </pt>
                <pt idx="134">
                  <v>25</v>
                </pt>
                <pt idx="135">
                  <v>25</v>
                </pt>
                <pt idx="136">
                  <v>25</v>
                </pt>
                <pt idx="137">
                  <v>25</v>
                </pt>
                <pt idx="138">
                  <v>25</v>
                </pt>
                <pt idx="139">
                  <v>25</v>
                </pt>
                <pt idx="140">
                  <v>25</v>
                </pt>
                <pt idx="141">
                  <v>25</v>
                </pt>
                <pt idx="142">
                  <v>25</v>
                </pt>
                <pt idx="143">
                  <v>25</v>
                </pt>
                <pt idx="144">
                  <v>25</v>
                </pt>
                <pt idx="145">
                  <v>25</v>
                </pt>
                <pt idx="146">
                  <v>25</v>
                </pt>
                <pt idx="147">
                  <v>25</v>
                </pt>
                <pt idx="148">
                  <v>25</v>
                </pt>
                <pt idx="149">
                  <v>25</v>
                </pt>
                <pt idx="150">
                  <v>25</v>
                </pt>
                <pt idx="151">
                  <v>25</v>
                </pt>
                <pt idx="152">
                  <v>25</v>
                </pt>
                <pt idx="153">
                  <v>25</v>
                </pt>
                <pt idx="154">
                  <v>25</v>
                </pt>
                <pt idx="155">
                  <v>25</v>
                </pt>
                <pt idx="156">
                  <v>25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25</v>
                </pt>
                <pt idx="161">
                  <v>25</v>
                </pt>
                <pt idx="162">
                  <v>25</v>
                </pt>
                <pt idx="163">
                  <v>25</v>
                </pt>
                <pt idx="164">
                  <v>25</v>
                </pt>
                <pt idx="165">
                  <v>25</v>
                </pt>
                <pt idx="166">
                  <v>25</v>
                </pt>
                <pt idx="167">
                  <v>25</v>
                </pt>
                <pt idx="168">
                  <v>25</v>
                </pt>
                <pt idx="169">
                  <v>25</v>
                </pt>
                <pt idx="170">
                  <v>25</v>
                </pt>
                <pt idx="171">
                  <v>25</v>
                </pt>
                <pt idx="172">
                  <v>25</v>
                </pt>
                <pt idx="173">
                  <v>25</v>
                </pt>
                <pt idx="174">
                  <v>25</v>
                </pt>
                <pt idx="175">
                  <v>25</v>
                </pt>
                <pt idx="176">
                  <v>25</v>
                </pt>
                <pt idx="177">
                  <v>25</v>
                </pt>
                <pt idx="178">
                  <v>25</v>
                </pt>
                <pt idx="179">
                  <v>25</v>
                </pt>
                <pt idx="180">
                  <v>25</v>
                </pt>
                <pt idx="181">
                  <v>25</v>
                </pt>
                <pt idx="182">
                  <v>25</v>
                </pt>
                <pt idx="183">
                  <v>25</v>
                </pt>
                <pt idx="184">
                  <v>25</v>
                </pt>
                <pt idx="185">
                  <v>25</v>
                </pt>
                <pt idx="186">
                  <v>25</v>
                </pt>
                <pt idx="187">
                  <v>25</v>
                </pt>
                <pt idx="188">
                  <v>25</v>
                </pt>
                <pt idx="189">
                  <v>25</v>
                </pt>
                <pt idx="190">
                  <v>25</v>
                </pt>
                <pt idx="191">
                  <v>25</v>
                </pt>
                <pt idx="192">
                  <v>25</v>
                </pt>
                <pt idx="193">
                  <v>25</v>
                </pt>
                <pt idx="194">
                  <v>25</v>
                </pt>
                <pt idx="195">
                  <v>25</v>
                </pt>
                <pt idx="196">
                  <v>25</v>
                </pt>
                <pt idx="197">
                  <v>25</v>
                </pt>
                <pt idx="198">
                  <v>25</v>
                </pt>
                <pt idx="199">
                  <v>25</v>
                </pt>
                <pt idx="200">
                  <v>25</v>
                </pt>
                <pt idx="201">
                  <v>25</v>
                </pt>
                <pt idx="202">
                  <v>25</v>
                </pt>
                <pt idx="203">
                  <v>25</v>
                </pt>
                <pt idx="204">
                  <v>25</v>
                </pt>
                <pt idx="205">
                  <v>25</v>
                </pt>
                <pt idx="206">
                  <v>25</v>
                </pt>
                <pt idx="207">
                  <v>25</v>
                </pt>
                <pt idx="208">
                  <v>25</v>
                </pt>
                <pt idx="209">
                  <v>25</v>
                </pt>
                <pt idx="210">
                  <v>25</v>
                </pt>
                <pt idx="211">
                  <v>25</v>
                </pt>
                <pt idx="212">
                  <v>25</v>
                </pt>
                <pt idx="213">
                  <v>25</v>
                </pt>
                <pt idx="214">
                  <v>25</v>
                </pt>
                <pt idx="215">
                  <v>25</v>
                </pt>
                <pt idx="216">
                  <v>25</v>
                </pt>
                <pt idx="217">
                  <v>25</v>
                </pt>
                <pt idx="218">
                  <v>25</v>
                </pt>
                <pt idx="219">
                  <v>25</v>
                </pt>
                <pt idx="220">
                  <v>25</v>
                </pt>
                <pt idx="221">
                  <v>25</v>
                </pt>
                <pt idx="222">
                  <v>25</v>
                </pt>
                <pt idx="223">
                  <v>25</v>
                </pt>
                <pt idx="224">
                  <v>25</v>
                </pt>
                <pt idx="225">
                  <v>25</v>
                </pt>
                <pt idx="226">
                  <v>25</v>
                </pt>
                <pt idx="227">
                  <v>25</v>
                </pt>
                <pt idx="228">
                  <v>25</v>
                </pt>
                <pt idx="229">
                  <v>25</v>
                </pt>
                <pt idx="230">
                  <v>25</v>
                </pt>
                <pt idx="231">
                  <v>25</v>
                </pt>
                <pt idx="232">
                  <v>25</v>
                </pt>
                <pt idx="233">
                  <v>25</v>
                </pt>
                <pt idx="234">
                  <v>25</v>
                </pt>
                <pt idx="235">
                  <v>25</v>
                </pt>
                <pt idx="236">
                  <v>25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29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Flow-Time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APRV!$D$25</f>
              <strCache>
                <ptCount val="1"/>
                <pt idx="0">
                  <v>Flow (L/min)</v>
                </pt>
              </strCache>
            </strRef>
          </tx>
          <spPr>
            <a:ln xmlns:a="http://schemas.openxmlformats.org/drawingml/2006/main" w="22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APRV!$D$26:$D$265</f>
              <numCache>
                <formatCode>0.000</formatCode>
                <ptCount val="24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0</v>
                </pt>
                <pt idx="16">
                  <v>0</v>
                </pt>
                <pt idx="17">
                  <v>0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  <pt idx="22">
                  <v>0</v>
                </pt>
                <pt idx="23">
                  <v>0</v>
                </pt>
                <pt idx="24">
                  <v>0</v>
                </pt>
                <pt idx="25">
                  <v>0</v>
                </pt>
                <pt idx="26">
                  <v>0</v>
                </pt>
                <pt idx="27">
                  <v>0</v>
                </pt>
                <pt idx="28">
                  <v>0</v>
                </pt>
                <pt idx="29">
                  <v>0</v>
                </pt>
                <pt idx="30">
                  <v>0</v>
                </pt>
                <pt idx="31">
                  <v>0</v>
                </pt>
                <pt idx="32">
                  <v>0</v>
                </pt>
                <pt idx="33">
                  <v>0</v>
                </pt>
                <pt idx="34">
                  <v>0</v>
                </pt>
                <pt idx="35">
                  <v>0</v>
                </pt>
                <pt idx="36">
                  <v>0</v>
                </pt>
                <pt idx="37">
                  <v>0</v>
                </pt>
                <pt idx="38">
                  <v>0</v>
                </pt>
                <pt idx="39">
                  <v>0</v>
                </pt>
                <pt idx="40">
                  <v>0</v>
                </pt>
                <pt idx="41">
                  <v>0</v>
                </pt>
                <pt idx="42">
                  <v>0</v>
                </pt>
                <pt idx="43">
                  <v>0</v>
                </pt>
                <pt idx="44">
                  <v>0</v>
                </pt>
                <pt idx="45">
                  <v>0</v>
                </pt>
                <pt idx="46">
                  <v>0</v>
                </pt>
                <pt idx="47">
                  <v>0</v>
                </pt>
                <pt idx="48">
                  <v>0</v>
                </pt>
                <pt idx="49">
                  <v>0</v>
                </pt>
                <pt idx="50">
                  <v>0</v>
                </pt>
                <pt idx="51">
                  <v>0</v>
                </pt>
                <pt idx="52">
                  <v>0</v>
                </pt>
                <pt idx="53">
                  <v>0</v>
                </pt>
                <pt idx="54">
                  <v>0</v>
                </pt>
                <pt idx="55">
                  <v>0</v>
                </pt>
                <pt idx="56">
                  <v>0</v>
                </pt>
                <pt idx="57">
                  <v>0</v>
                </pt>
                <pt idx="58">
                  <v>0</v>
                </pt>
                <pt idx="59">
                  <v>0</v>
                </pt>
                <pt idx="60">
                  <v>0</v>
                </pt>
                <pt idx="61">
                  <v>0</v>
                </pt>
                <pt idx="62">
                  <v>0</v>
                </pt>
                <pt idx="63">
                  <v>0</v>
                </pt>
                <pt idx="64">
                  <v>0</v>
                </pt>
                <pt idx="65">
                  <v>0</v>
                </pt>
                <pt idx="66">
                  <v>0</v>
                </pt>
                <pt idx="67">
                  <v>0</v>
                </pt>
                <pt idx="68">
                  <v>0</v>
                </pt>
                <pt idx="69">
                  <v>0</v>
                </pt>
                <pt idx="70">
                  <v>0</v>
                </pt>
                <pt idx="71">
                  <v>0</v>
                </pt>
                <pt idx="72">
                  <v>0</v>
                </pt>
                <pt idx="73">
                  <v>0</v>
                </pt>
                <pt idx="74">
                  <v>0</v>
                </pt>
                <pt idx="75">
                  <v>0</v>
                </pt>
                <pt idx="76">
                  <v>0</v>
                </pt>
                <pt idx="77">
                  <v>-272.8118803404687</v>
                </pt>
                <pt idx="78">
                  <v>-215.6771200295775</v>
                </pt>
                <pt idx="79">
                  <v>-170.5080440272619</v>
                </pt>
                <pt idx="80">
                  <v>0</v>
                </pt>
                <pt idx="81">
                  <v>0</v>
                </pt>
                <pt idx="82">
                  <v>0</v>
                </pt>
                <pt idx="83">
                  <v>0</v>
                </pt>
                <pt idx="84">
                  <v>0</v>
                </pt>
                <pt idx="85">
                  <v>0</v>
                </pt>
                <pt idx="86">
                  <v>0</v>
                </pt>
                <pt idx="87">
                  <v>0</v>
                </pt>
                <pt idx="88">
                  <v>0</v>
                </pt>
                <pt idx="89">
                  <v>0</v>
                </pt>
                <pt idx="90">
                  <v>0</v>
                </pt>
                <pt idx="91">
                  <v>0</v>
                </pt>
                <pt idx="92">
                  <v>0</v>
                </pt>
                <pt idx="93">
                  <v>0</v>
                </pt>
                <pt idx="94">
                  <v>0</v>
                </pt>
                <pt idx="95">
                  <v>0</v>
                </pt>
                <pt idx="96">
                  <v>0</v>
                </pt>
                <pt idx="97">
                  <v>0</v>
                </pt>
                <pt idx="98">
                  <v>0</v>
                </pt>
                <pt idx="99">
                  <v>0</v>
                </pt>
                <pt idx="100">
                  <v>0</v>
                </pt>
                <pt idx="101">
                  <v>0</v>
                </pt>
                <pt idx="102">
                  <v>0</v>
                </pt>
                <pt idx="103">
                  <v>0</v>
                </pt>
                <pt idx="104">
                  <v>0</v>
                </pt>
                <pt idx="105">
                  <v>0</v>
                </pt>
                <pt idx="106">
                  <v>0</v>
                </pt>
                <pt idx="107">
                  <v>0</v>
                </pt>
                <pt idx="108">
                  <v>0</v>
                </pt>
                <pt idx="109">
                  <v>0</v>
                </pt>
                <pt idx="110">
                  <v>0</v>
                </pt>
                <pt idx="111">
                  <v>0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-272.8118803404687</v>
                </pt>
                <pt idx="158">
                  <v>-215.6771200295775</v>
                </pt>
                <pt idx="159">
                  <v>-170.5080440272619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-272.8118803404697</v>
                </pt>
                <pt idx="238">
                  <v>-215.6771200295767</v>
                </pt>
                <pt idx="239">
                  <v>-170.5080440272625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Flow (L/min)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Volume-Time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VCV!$E$30</f>
              <strCache>
                <ptCount val="1"/>
                <pt idx="0">
                  <v>Volume (mL)</v>
                </pt>
              </strCache>
            </strRef>
          </tx>
          <spPr>
            <a:ln xmlns:a="http://schemas.openxmlformats.org/drawingml/2006/main" w="22000">
              <a:solidFill>
                <a:srgbClr val="7030A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VCV!$E$31:$E$270</f>
              <numCache>
                <formatCode>0.0</formatCode>
                <ptCount val="240"/>
                <pt idx="0">
                  <v>0</v>
                </pt>
                <pt idx="1">
                  <v>25</v>
                </pt>
                <pt idx="2">
                  <v>50</v>
                </pt>
                <pt idx="3">
                  <v>75</v>
                </pt>
                <pt idx="4">
                  <v>100</v>
                </pt>
                <pt idx="5">
                  <v>125</v>
                </pt>
                <pt idx="6">
                  <v>150</v>
                </pt>
                <pt idx="7">
                  <v>175</v>
                </pt>
                <pt idx="8">
                  <v>200</v>
                </pt>
                <pt idx="9">
                  <v>225</v>
                </pt>
                <pt idx="10">
                  <v>250</v>
                </pt>
                <pt idx="11">
                  <v>275</v>
                </pt>
                <pt idx="12">
                  <v>300</v>
                </pt>
                <pt idx="13">
                  <v>325</v>
                </pt>
                <pt idx="14">
                  <v>350</v>
                </pt>
                <pt idx="15">
                  <v>375</v>
                </pt>
                <pt idx="16">
                  <v>400</v>
                </pt>
                <pt idx="17">
                  <v>425</v>
                </pt>
                <pt idx="18">
                  <v>450</v>
                </pt>
                <pt idx="19">
                  <v>475</v>
                </pt>
                <pt idx="20">
                  <v>500</v>
                </pt>
                <pt idx="21">
                  <v>525</v>
                </pt>
                <pt idx="22">
                  <v>550</v>
                </pt>
                <pt idx="23">
                  <v>575</v>
                </pt>
                <pt idx="24">
                  <v>600</v>
                </pt>
                <pt idx="25">
                  <v>625</v>
                </pt>
                <pt idx="26">
                  <v>650</v>
                </pt>
                <pt idx="27">
                  <v>753.4116268673989</v>
                </pt>
                <pt idx="28">
                  <v>681.7150311729692</v>
                </pt>
                <pt idx="29">
                  <v>616.8412686428533</v>
                </pt>
                <pt idx="30">
                  <v>558.1410608568249</v>
                </pt>
                <pt idx="31">
                  <v>505.0269164055408</v>
                </pt>
                <pt idx="32">
                  <v>456.9672510790519</v>
                </pt>
                <pt idx="33">
                  <v>413.4810675933596</v>
                </pt>
                <pt idx="34">
                  <v>374.1331416079275</v>
                </pt>
                <pt idx="35">
                  <v>338.5296658541992</v>
                </pt>
                <pt idx="36">
                  <v>306.3143087800897</v>
                </pt>
                <pt idx="37">
                  <v>277.1646482640459</v>
                </pt>
                <pt idx="38">
                  <v>250.7889447060843</v>
                </pt>
                <pt idx="39">
                  <v>226.9232211998164</v>
                </pt>
                <pt idx="40">
                  <v>205.3286215628448</v>
                </pt>
                <pt idx="41">
                  <v>185.7890197838072</v>
                </pt>
                <pt idx="42">
                  <v>168.1088569606118</v>
                </pt>
                <pt idx="43">
                  <v>152.1111840812165</v>
                </pt>
                <pt idx="44">
                  <v>137.6358910584404</v>
                </pt>
                <pt idx="45">
                  <v>124.5381042943979</v>
                </pt>
                <pt idx="46">
                  <v>112.6867367368361</v>
                </pt>
                <pt idx="47">
                  <v>101.9631759158566</v>
                </pt>
                <pt idx="48">
                  <v>92.26009683045005</v>
                </pt>
                <pt idx="49">
                  <v>83.48038780381201</v>
                </pt>
                <pt idx="50">
                  <v>75.53617855704188</v>
                </pt>
                <pt idx="51">
                  <v>68.34796077385703</v>
                </pt>
                <pt idx="52">
                  <v>61.8437923546398</v>
                </pt>
                <pt idx="53">
                  <v>55.95857739572431</v>
                </pt>
                <pt idx="54">
                  <v>50.63341468771257</v>
                </pt>
                <pt idx="55">
                  <v>45.81500821237389</v>
                </pt>
                <pt idx="56">
                  <v>41.45513373818069</v>
                </pt>
                <pt idx="57">
                  <v>37.51015617599079</v>
                </pt>
                <pt idx="58">
                  <v>33.94059286440912</v>
                </pt>
                <pt idx="59">
                  <v>30.71071841404165</v>
                </pt>
                <pt idx="60">
                  <v>27.78820715579085</v>
                </pt>
                <pt idx="61">
                  <v>25.14380961469418</v>
                </pt>
                <pt idx="62">
                  <v>22.75105977134761</v>
                </pt>
                <pt idx="63">
                  <v>20.58601018108796</v>
                </pt>
                <pt idx="64">
                  <v>18.6269922999176</v>
                </pt>
                <pt idx="65">
                  <v>16.85439961843315</v>
                </pt>
                <pt idx="66">
                  <v>15.25049143328932</v>
                </pt>
                <pt idx="67">
                  <v>13.79921529227701</v>
                </pt>
                <pt idx="68">
                  <v>12.48604633598627</v>
                </pt>
                <pt idx="69">
                  <v>11.29784192813117</v>
                </pt>
                <pt idx="70">
                  <v>10.22271011962862</v>
                </pt>
                <pt idx="71">
                  <v>9.249890629974837</v>
                </pt>
                <pt idx="72">
                  <v>8.369647154741436</v>
                </pt>
                <pt idx="73">
                  <v>7.573169921368259</v>
                </pt>
                <pt idx="74">
                  <v>6.852487517998449</v>
                </pt>
                <pt idx="75">
                  <v>6.200387112909359</v>
                </pt>
                <pt idx="76">
                  <v>5.610342266068345</v>
                </pt>
                <pt idx="77">
                  <v>5.076447610327288</v>
                </pt>
                <pt idx="78">
                  <v>4.593359748523362</v>
                </pt>
                <pt idx="79">
                  <v>4.156243774964185</v>
                </pt>
                <pt idx="80">
                  <v>0</v>
                </pt>
                <pt idx="81">
                  <v>24.99999999999991</v>
                </pt>
                <pt idx="82">
                  <v>49.99999999999982</v>
                </pt>
                <pt idx="83">
                  <v>75.00000000000017</v>
                </pt>
                <pt idx="84">
                  <v>100.0000000000001</v>
                </pt>
                <pt idx="85">
                  <v>125</v>
                </pt>
                <pt idx="86">
                  <v>149.9999999999999</v>
                </pt>
                <pt idx="87">
                  <v>174.9999999999998</v>
                </pt>
                <pt idx="88">
                  <v>200.0000000000002</v>
                </pt>
                <pt idx="89">
                  <v>225.0000000000001</v>
                </pt>
                <pt idx="90">
                  <v>250</v>
                </pt>
                <pt idx="91">
                  <v>274.9999999999999</v>
                </pt>
                <pt idx="92">
                  <v>299.9999999999998</v>
                </pt>
                <pt idx="93">
                  <v>325.0000000000002</v>
                </pt>
                <pt idx="94">
                  <v>350.0000000000001</v>
                </pt>
                <pt idx="95">
                  <v>375</v>
                </pt>
                <pt idx="96">
                  <v>399.9999999999999</v>
                </pt>
                <pt idx="97">
                  <v>424.9999999999998</v>
                </pt>
                <pt idx="98">
                  <v>450.0000000000002</v>
                </pt>
                <pt idx="99">
                  <v>475.0000000000001</v>
                </pt>
                <pt idx="100">
                  <v>500</v>
                </pt>
                <pt idx="101">
                  <v>524.9999999999999</v>
                </pt>
                <pt idx="102">
                  <v>549.9999999999998</v>
                </pt>
                <pt idx="103">
                  <v>575.0000000000002</v>
                </pt>
                <pt idx="104">
                  <v>600.0000000000001</v>
                </pt>
                <pt idx="105">
                  <v>625</v>
                </pt>
                <pt idx="106">
                  <v>649.9999999999999</v>
                </pt>
                <pt idx="107">
                  <v>753.4116268673996</v>
                </pt>
                <pt idx="108">
                  <v>681.7150311729687</v>
                </pt>
                <pt idx="109">
                  <v>616.8412686428529</v>
                </pt>
                <pt idx="110">
                  <v>558.1410608568249</v>
                </pt>
                <pt idx="111">
                  <v>505.0269164055411</v>
                </pt>
                <pt idx="112">
                  <v>456.9672510790523</v>
                </pt>
                <pt idx="113">
                  <v>413.4810675933592</v>
                </pt>
                <pt idx="114">
                  <v>374.1331416079273</v>
                </pt>
                <pt idx="115">
                  <v>338.5296658541992</v>
                </pt>
                <pt idx="116">
                  <v>306.3143087800898</v>
                </pt>
                <pt idx="117">
                  <v>277.1646482640462</v>
                </pt>
                <pt idx="118">
                  <v>250.7889447060841</v>
                </pt>
                <pt idx="119">
                  <v>226.9232211998162</v>
                </pt>
                <pt idx="120">
                  <v>205.3286215628448</v>
                </pt>
                <pt idx="121">
                  <v>185.7890197838072</v>
                </pt>
                <pt idx="122">
                  <v>168.1088569606119</v>
                </pt>
                <pt idx="123">
                  <v>152.1111840812164</v>
                </pt>
                <pt idx="124">
                  <v>137.6358910584404</v>
                </pt>
                <pt idx="125">
                  <v>124.5381042943979</v>
                </pt>
                <pt idx="126">
                  <v>112.6867367368361</v>
                </pt>
                <pt idx="127">
                  <v>101.9631759158567</v>
                </pt>
                <pt idx="128">
                  <v>92.26009683044997</v>
                </pt>
                <pt idx="129">
                  <v>83.48038780381201</v>
                </pt>
                <pt idx="130">
                  <v>75.53617855704188</v>
                </pt>
                <pt idx="131">
                  <v>68.34796077385703</v>
                </pt>
                <pt idx="132">
                  <v>61.84379235463985</v>
                </pt>
                <pt idx="133">
                  <v>55.95857739572427</v>
                </pt>
                <pt idx="134">
                  <v>50.63341468771257</v>
                </pt>
                <pt idx="135">
                  <v>45.81500821237389</v>
                </pt>
                <pt idx="136">
                  <v>41.45513373818069</v>
                </pt>
                <pt idx="137">
                  <v>37.51015617599082</v>
                </pt>
                <pt idx="138">
                  <v>33.94059286440909</v>
                </pt>
                <pt idx="139">
                  <v>30.71071841404165</v>
                </pt>
                <pt idx="140">
                  <v>27.78820715579085</v>
                </pt>
                <pt idx="141">
                  <v>25.14380961469418</v>
                </pt>
                <pt idx="142">
                  <v>22.75105977134763</v>
                </pt>
                <pt idx="143">
                  <v>20.58601018108795</v>
                </pt>
                <pt idx="144">
                  <v>18.6269922999176</v>
                </pt>
                <pt idx="145">
                  <v>16.85439961843315</v>
                </pt>
                <pt idx="146">
                  <v>15.25049143328932</v>
                </pt>
                <pt idx="147">
                  <v>13.79921529227704</v>
                </pt>
                <pt idx="148">
                  <v>12.48604633598627</v>
                </pt>
                <pt idx="149">
                  <v>11.29784192813117</v>
                </pt>
                <pt idx="150">
                  <v>10.22271011962862</v>
                </pt>
                <pt idx="151">
                  <v>9.249890629974837</v>
                </pt>
                <pt idx="152">
                  <v>8.36964715474145</v>
                </pt>
                <pt idx="153">
                  <v>7.573169921368259</v>
                </pt>
                <pt idx="154">
                  <v>6.852487517998449</v>
                </pt>
                <pt idx="155">
                  <v>6.200387112909359</v>
                </pt>
                <pt idx="156">
                  <v>5.610342266068345</v>
                </pt>
                <pt idx="157">
                  <v>5.076447610327297</v>
                </pt>
                <pt idx="158">
                  <v>4.593359748523362</v>
                </pt>
                <pt idx="159">
                  <v>4.156243774964185</v>
                </pt>
                <pt idx="160">
                  <v>0</v>
                </pt>
                <pt idx="161">
                  <v>25.00000000000036</v>
                </pt>
                <pt idx="162">
                  <v>49.99999999999982</v>
                </pt>
                <pt idx="163">
                  <v>75.00000000000017</v>
                </pt>
                <pt idx="164">
                  <v>99.99999999999964</v>
                </pt>
                <pt idx="165">
                  <v>125</v>
                </pt>
                <pt idx="166">
                  <v>150.0000000000003</v>
                </pt>
                <pt idx="167">
                  <v>174.9999999999998</v>
                </pt>
                <pt idx="168">
                  <v>200.0000000000002</v>
                </pt>
                <pt idx="169">
                  <v>224.9999999999997</v>
                </pt>
                <pt idx="170">
                  <v>250</v>
                </pt>
                <pt idx="171">
                  <v>275.0000000000003</v>
                </pt>
                <pt idx="172">
                  <v>299.9999999999998</v>
                </pt>
                <pt idx="173">
                  <v>325.0000000000002</v>
                </pt>
                <pt idx="174">
                  <v>349.9999999999997</v>
                </pt>
                <pt idx="175">
                  <v>375</v>
                </pt>
                <pt idx="176">
                  <v>400.0000000000003</v>
                </pt>
                <pt idx="177">
                  <v>424.9999999999998</v>
                </pt>
                <pt idx="178">
                  <v>450.0000000000002</v>
                </pt>
                <pt idx="179">
                  <v>474.9999999999997</v>
                </pt>
                <pt idx="180">
                  <v>500</v>
                </pt>
                <pt idx="181">
                  <v>525.0000000000003</v>
                </pt>
                <pt idx="182">
                  <v>549.9999999999998</v>
                </pt>
                <pt idx="183">
                  <v>575.0000000000002</v>
                </pt>
                <pt idx="184">
                  <v>599.9999999999997</v>
                </pt>
                <pt idx="185">
                  <v>625</v>
                </pt>
                <pt idx="186">
                  <v>650.0000000000003</v>
                </pt>
                <pt idx="187">
                  <v>753.4116268673996</v>
                </pt>
                <pt idx="188">
                  <v>681.7150311729687</v>
                </pt>
                <pt idx="189">
                  <v>616.8412686428541</v>
                </pt>
                <pt idx="190">
                  <v>558.1410608568249</v>
                </pt>
                <pt idx="191">
                  <v>505.0269164055402</v>
                </pt>
                <pt idx="192">
                  <v>456.9672510790523</v>
                </pt>
                <pt idx="193">
                  <v>413.4810675933592</v>
                </pt>
                <pt idx="194">
                  <v>374.133141607928</v>
                </pt>
                <pt idx="195">
                  <v>338.5296658541992</v>
                </pt>
                <pt idx="196">
                  <v>306.3143087800893</v>
                </pt>
                <pt idx="197">
                  <v>277.1646482640462</v>
                </pt>
                <pt idx="198">
                  <v>250.7889447060841</v>
                </pt>
                <pt idx="199">
                  <v>226.9232211998167</v>
                </pt>
                <pt idx="200">
                  <v>205.3286215628448</v>
                </pt>
                <pt idx="201">
                  <v>185.7890197838068</v>
                </pt>
                <pt idx="202">
                  <v>168.1088569606119</v>
                </pt>
                <pt idx="203">
                  <v>152.1111840812164</v>
                </pt>
                <pt idx="204">
                  <v>137.6358910584406</v>
                </pt>
                <pt idx="205">
                  <v>124.5381042943979</v>
                </pt>
                <pt idx="206">
                  <v>112.6867367368359</v>
                </pt>
                <pt idx="207">
                  <v>101.9631759158567</v>
                </pt>
                <pt idx="208">
                  <v>92.26009683044997</v>
                </pt>
                <pt idx="209">
                  <v>83.48038780381215</v>
                </pt>
                <pt idx="210">
                  <v>75.53617855704188</v>
                </pt>
                <pt idx="211">
                  <v>68.3479607738569</v>
                </pt>
                <pt idx="212">
                  <v>61.84379235463985</v>
                </pt>
                <pt idx="213">
                  <v>55.95857739572427</v>
                </pt>
                <pt idx="214">
                  <v>50.63341468771265</v>
                </pt>
                <pt idx="215">
                  <v>45.81500821237389</v>
                </pt>
                <pt idx="216">
                  <v>41.45513373818061</v>
                </pt>
                <pt idx="217">
                  <v>37.51015617599082</v>
                </pt>
                <pt idx="218">
                  <v>33.94059286440909</v>
                </pt>
                <pt idx="219">
                  <v>30.7107184140417</v>
                </pt>
                <pt idx="220">
                  <v>27.78820715579085</v>
                </pt>
                <pt idx="221">
                  <v>25.14380961469413</v>
                </pt>
                <pt idx="222">
                  <v>22.75105977134763</v>
                </pt>
                <pt idx="223">
                  <v>20.58601018108795</v>
                </pt>
                <pt idx="224">
                  <v>18.62699229991764</v>
                </pt>
                <pt idx="225">
                  <v>16.85439961843315</v>
                </pt>
                <pt idx="226">
                  <v>15.25049143328929</v>
                </pt>
                <pt idx="227">
                  <v>13.79921529227704</v>
                </pt>
                <pt idx="228">
                  <v>12.48604633598627</v>
                </pt>
                <pt idx="229">
                  <v>11.29784192813119</v>
                </pt>
                <pt idx="230">
                  <v>10.22271011962862</v>
                </pt>
                <pt idx="231">
                  <v>9.249890629974821</v>
                </pt>
                <pt idx="232">
                  <v>8.36964715474145</v>
                </pt>
                <pt idx="233">
                  <v>7.573169921368259</v>
                </pt>
                <pt idx="234">
                  <v>6.852487517998461</v>
                </pt>
                <pt idx="235">
                  <v>6.200387112909359</v>
                </pt>
                <pt idx="236">
                  <v>5.610342266068335</v>
                </pt>
                <pt idx="237">
                  <v>5.076447610327297</v>
                </pt>
                <pt idx="238">
                  <v>4.593359748523362</v>
                </pt>
                <pt idx="239">
                  <v>4.156243774964193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0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Volume-Time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APRV!$E$25</f>
              <strCache>
                <ptCount val="1"/>
                <pt idx="0">
                  <v>Volume (mL)</v>
                </pt>
              </strCache>
            </strRef>
          </tx>
          <spPr>
            <a:ln xmlns:a="http://schemas.openxmlformats.org/drawingml/2006/main" w="22000">
              <a:solidFill>
                <a:srgbClr val="7030A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APRV!$E$26:$E$265</f>
              <numCache>
                <formatCode>0.0</formatCode>
                <ptCount val="240"/>
                <pt idx="0">
                  <v>1250</v>
                </pt>
                <pt idx="1">
                  <v>1250</v>
                </pt>
                <pt idx="2">
                  <v>1250</v>
                </pt>
                <pt idx="3">
                  <v>1250</v>
                </pt>
                <pt idx="4">
                  <v>1250</v>
                </pt>
                <pt idx="5">
                  <v>1250</v>
                </pt>
                <pt idx="6">
                  <v>1250</v>
                </pt>
                <pt idx="7">
                  <v>1250</v>
                </pt>
                <pt idx="8">
                  <v>1250</v>
                </pt>
                <pt idx="9">
                  <v>1250</v>
                </pt>
                <pt idx="10">
                  <v>1250</v>
                </pt>
                <pt idx="11">
                  <v>1250</v>
                </pt>
                <pt idx="12">
                  <v>1250</v>
                </pt>
                <pt idx="13">
                  <v>1250</v>
                </pt>
                <pt idx="14">
                  <v>1250</v>
                </pt>
                <pt idx="15">
                  <v>1250</v>
                </pt>
                <pt idx="16">
                  <v>1250</v>
                </pt>
                <pt idx="17">
                  <v>1250</v>
                </pt>
                <pt idx="18">
                  <v>1250</v>
                </pt>
                <pt idx="19">
                  <v>1250</v>
                </pt>
                <pt idx="20">
                  <v>1250</v>
                </pt>
                <pt idx="21">
                  <v>1250</v>
                </pt>
                <pt idx="22">
                  <v>1250</v>
                </pt>
                <pt idx="23">
                  <v>1250</v>
                </pt>
                <pt idx="24">
                  <v>1250</v>
                </pt>
                <pt idx="25">
                  <v>1250</v>
                </pt>
                <pt idx="26">
                  <v>1250</v>
                </pt>
                <pt idx="27">
                  <v>1250</v>
                </pt>
                <pt idx="28">
                  <v>1250</v>
                </pt>
                <pt idx="29">
                  <v>1250</v>
                </pt>
                <pt idx="30">
                  <v>1250</v>
                </pt>
                <pt idx="31">
                  <v>1250</v>
                </pt>
                <pt idx="32">
                  <v>1250</v>
                </pt>
                <pt idx="33">
                  <v>1250</v>
                </pt>
                <pt idx="34">
                  <v>1250</v>
                </pt>
                <pt idx="35">
                  <v>1250</v>
                </pt>
                <pt idx="36">
                  <v>1250</v>
                </pt>
                <pt idx="37">
                  <v>1250</v>
                </pt>
                <pt idx="38">
                  <v>1250</v>
                </pt>
                <pt idx="39">
                  <v>1250</v>
                </pt>
                <pt idx="40">
                  <v>1250</v>
                </pt>
                <pt idx="41">
                  <v>1250</v>
                </pt>
                <pt idx="42">
                  <v>1250</v>
                </pt>
                <pt idx="43">
                  <v>1250</v>
                </pt>
                <pt idx="44">
                  <v>1250</v>
                </pt>
                <pt idx="45">
                  <v>1250</v>
                </pt>
                <pt idx="46">
                  <v>1250</v>
                </pt>
                <pt idx="47">
                  <v>1250</v>
                </pt>
                <pt idx="48">
                  <v>1250</v>
                </pt>
                <pt idx="49">
                  <v>1250</v>
                </pt>
                <pt idx="50">
                  <v>1250</v>
                </pt>
                <pt idx="51">
                  <v>1250</v>
                </pt>
                <pt idx="52">
                  <v>1250</v>
                </pt>
                <pt idx="53">
                  <v>1250</v>
                </pt>
                <pt idx="54">
                  <v>1250</v>
                </pt>
                <pt idx="55">
                  <v>1250</v>
                </pt>
                <pt idx="56">
                  <v>1250</v>
                </pt>
                <pt idx="57">
                  <v>1250</v>
                </pt>
                <pt idx="58">
                  <v>1250</v>
                </pt>
                <pt idx="59">
                  <v>1250</v>
                </pt>
                <pt idx="60">
                  <v>1250</v>
                </pt>
                <pt idx="61">
                  <v>1250</v>
                </pt>
                <pt idx="62">
                  <v>1250</v>
                </pt>
                <pt idx="63">
                  <v>1250</v>
                </pt>
                <pt idx="64">
                  <v>1250</v>
                </pt>
                <pt idx="65">
                  <v>1250</v>
                </pt>
                <pt idx="66">
                  <v>1250</v>
                </pt>
                <pt idx="67">
                  <v>1250</v>
                </pt>
                <pt idx="68">
                  <v>1250</v>
                </pt>
                <pt idx="69">
                  <v>1250</v>
                </pt>
                <pt idx="70">
                  <v>1250</v>
                </pt>
                <pt idx="71">
                  <v>1250</v>
                </pt>
                <pt idx="72">
                  <v>1250</v>
                </pt>
                <pt idx="73">
                  <v>1250</v>
                </pt>
                <pt idx="74">
                  <v>1250</v>
                </pt>
                <pt idx="75">
                  <v>1250</v>
                </pt>
                <pt idx="76">
                  <v>1250</v>
                </pt>
                <pt idx="77">
                  <v>1136.716168085286</v>
                </pt>
                <pt idx="78">
                  <v>898.6546667899061</v>
                </pt>
                <pt idx="79">
                  <v>710.4501834469247</v>
                </pt>
                <pt idx="80">
                  <v>1250</v>
                </pt>
                <pt idx="81">
                  <v>1250</v>
                </pt>
                <pt idx="82">
                  <v>1250</v>
                </pt>
                <pt idx="83">
                  <v>1250</v>
                </pt>
                <pt idx="84">
                  <v>1250</v>
                </pt>
                <pt idx="85">
                  <v>1250</v>
                </pt>
                <pt idx="86">
                  <v>1250</v>
                </pt>
                <pt idx="87">
                  <v>1250</v>
                </pt>
                <pt idx="88">
                  <v>1250</v>
                </pt>
                <pt idx="89">
                  <v>1250</v>
                </pt>
                <pt idx="90">
                  <v>1250</v>
                </pt>
                <pt idx="91">
                  <v>1250</v>
                </pt>
                <pt idx="92">
                  <v>1250</v>
                </pt>
                <pt idx="93">
                  <v>1250</v>
                </pt>
                <pt idx="94">
                  <v>1250</v>
                </pt>
                <pt idx="95">
                  <v>1250</v>
                </pt>
                <pt idx="96">
                  <v>1250</v>
                </pt>
                <pt idx="97">
                  <v>1250</v>
                </pt>
                <pt idx="98">
                  <v>1250</v>
                </pt>
                <pt idx="99">
                  <v>1250</v>
                </pt>
                <pt idx="100">
                  <v>1250</v>
                </pt>
                <pt idx="101">
                  <v>1250</v>
                </pt>
                <pt idx="102">
                  <v>1250</v>
                </pt>
                <pt idx="103">
                  <v>1250</v>
                </pt>
                <pt idx="104">
                  <v>1250</v>
                </pt>
                <pt idx="105">
                  <v>1250</v>
                </pt>
                <pt idx="106">
                  <v>1250</v>
                </pt>
                <pt idx="107">
                  <v>1250</v>
                </pt>
                <pt idx="108">
                  <v>1250</v>
                </pt>
                <pt idx="109">
                  <v>1250</v>
                </pt>
                <pt idx="110">
                  <v>1250</v>
                </pt>
                <pt idx="111">
                  <v>1250</v>
                </pt>
                <pt idx="112">
                  <v>1250</v>
                </pt>
                <pt idx="113">
                  <v>1250</v>
                </pt>
                <pt idx="114">
                  <v>1250</v>
                </pt>
                <pt idx="115">
                  <v>1250</v>
                </pt>
                <pt idx="116">
                  <v>1250</v>
                </pt>
                <pt idx="117">
                  <v>1250</v>
                </pt>
                <pt idx="118">
                  <v>1250</v>
                </pt>
                <pt idx="119">
                  <v>1250</v>
                </pt>
                <pt idx="120">
                  <v>1250</v>
                </pt>
                <pt idx="121">
                  <v>1250</v>
                </pt>
                <pt idx="122">
                  <v>1250</v>
                </pt>
                <pt idx="123">
                  <v>1250</v>
                </pt>
                <pt idx="124">
                  <v>1250</v>
                </pt>
                <pt idx="125">
                  <v>1250</v>
                </pt>
                <pt idx="126">
                  <v>1250</v>
                </pt>
                <pt idx="127">
                  <v>1250</v>
                </pt>
                <pt idx="128">
                  <v>1250</v>
                </pt>
                <pt idx="129">
                  <v>1250</v>
                </pt>
                <pt idx="130">
                  <v>1250</v>
                </pt>
                <pt idx="131">
                  <v>1250</v>
                </pt>
                <pt idx="132">
                  <v>1250</v>
                </pt>
                <pt idx="133">
                  <v>1250</v>
                </pt>
                <pt idx="134">
                  <v>1250</v>
                </pt>
                <pt idx="135">
                  <v>1250</v>
                </pt>
                <pt idx="136">
                  <v>1250</v>
                </pt>
                <pt idx="137">
                  <v>1250</v>
                </pt>
                <pt idx="138">
                  <v>1250</v>
                </pt>
                <pt idx="139">
                  <v>1250</v>
                </pt>
                <pt idx="140">
                  <v>1250</v>
                </pt>
                <pt idx="141">
                  <v>1250</v>
                </pt>
                <pt idx="142">
                  <v>1250</v>
                </pt>
                <pt idx="143">
                  <v>1250</v>
                </pt>
                <pt idx="144">
                  <v>1250</v>
                </pt>
                <pt idx="145">
                  <v>1250</v>
                </pt>
                <pt idx="146">
                  <v>1250</v>
                </pt>
                <pt idx="147">
                  <v>1250</v>
                </pt>
                <pt idx="148">
                  <v>1250</v>
                </pt>
                <pt idx="149">
                  <v>1250</v>
                </pt>
                <pt idx="150">
                  <v>1250</v>
                </pt>
                <pt idx="151">
                  <v>1250</v>
                </pt>
                <pt idx="152">
                  <v>1250</v>
                </pt>
                <pt idx="153">
                  <v>1250</v>
                </pt>
                <pt idx="154">
                  <v>1250</v>
                </pt>
                <pt idx="155">
                  <v>1250</v>
                </pt>
                <pt idx="156">
                  <v>1250</v>
                </pt>
                <pt idx="157">
                  <v>1136.716168085286</v>
                </pt>
                <pt idx="158">
                  <v>898.6546667899061</v>
                </pt>
                <pt idx="159">
                  <v>710.4501834469247</v>
                </pt>
                <pt idx="160">
                  <v>1250</v>
                </pt>
                <pt idx="161">
                  <v>1250</v>
                </pt>
                <pt idx="162">
                  <v>1250</v>
                </pt>
                <pt idx="163">
                  <v>1250</v>
                </pt>
                <pt idx="164">
                  <v>1250</v>
                </pt>
                <pt idx="165">
                  <v>1250</v>
                </pt>
                <pt idx="166">
                  <v>1250</v>
                </pt>
                <pt idx="167">
                  <v>1250</v>
                </pt>
                <pt idx="168">
                  <v>1250</v>
                </pt>
                <pt idx="169">
                  <v>1250</v>
                </pt>
                <pt idx="170">
                  <v>1250</v>
                </pt>
                <pt idx="171">
                  <v>1250</v>
                </pt>
                <pt idx="172">
                  <v>1250</v>
                </pt>
                <pt idx="173">
                  <v>1250</v>
                </pt>
                <pt idx="174">
                  <v>1250</v>
                </pt>
                <pt idx="175">
                  <v>1250</v>
                </pt>
                <pt idx="176">
                  <v>1250</v>
                </pt>
                <pt idx="177">
                  <v>1250</v>
                </pt>
                <pt idx="178">
                  <v>1250</v>
                </pt>
                <pt idx="179">
                  <v>1250</v>
                </pt>
                <pt idx="180">
                  <v>1250</v>
                </pt>
                <pt idx="181">
                  <v>1250</v>
                </pt>
                <pt idx="182">
                  <v>1250</v>
                </pt>
                <pt idx="183">
                  <v>1250</v>
                </pt>
                <pt idx="184">
                  <v>1250</v>
                </pt>
                <pt idx="185">
                  <v>1250</v>
                </pt>
                <pt idx="186">
                  <v>1250</v>
                </pt>
                <pt idx="187">
                  <v>1250</v>
                </pt>
                <pt idx="188">
                  <v>1250</v>
                </pt>
                <pt idx="189">
                  <v>1250</v>
                </pt>
                <pt idx="190">
                  <v>1250</v>
                </pt>
                <pt idx="191">
                  <v>1250</v>
                </pt>
                <pt idx="192">
                  <v>1250</v>
                </pt>
                <pt idx="193">
                  <v>1250</v>
                </pt>
                <pt idx="194">
                  <v>1250</v>
                </pt>
                <pt idx="195">
                  <v>1250</v>
                </pt>
                <pt idx="196">
                  <v>1250</v>
                </pt>
                <pt idx="197">
                  <v>1250</v>
                </pt>
                <pt idx="198">
                  <v>1250</v>
                </pt>
                <pt idx="199">
                  <v>1250</v>
                </pt>
                <pt idx="200">
                  <v>1250</v>
                </pt>
                <pt idx="201">
                  <v>1250</v>
                </pt>
                <pt idx="202">
                  <v>1250</v>
                </pt>
                <pt idx="203">
                  <v>1250</v>
                </pt>
                <pt idx="204">
                  <v>1250</v>
                </pt>
                <pt idx="205">
                  <v>1250</v>
                </pt>
                <pt idx="206">
                  <v>1250</v>
                </pt>
                <pt idx="207">
                  <v>1250</v>
                </pt>
                <pt idx="208">
                  <v>1250</v>
                </pt>
                <pt idx="209">
                  <v>1250</v>
                </pt>
                <pt idx="210">
                  <v>1250</v>
                </pt>
                <pt idx="211">
                  <v>1250</v>
                </pt>
                <pt idx="212">
                  <v>1250</v>
                </pt>
                <pt idx="213">
                  <v>1250</v>
                </pt>
                <pt idx="214">
                  <v>1250</v>
                </pt>
                <pt idx="215">
                  <v>1250</v>
                </pt>
                <pt idx="216">
                  <v>1250</v>
                </pt>
                <pt idx="217">
                  <v>1250</v>
                </pt>
                <pt idx="218">
                  <v>1250</v>
                </pt>
                <pt idx="219">
                  <v>1250</v>
                </pt>
                <pt idx="220">
                  <v>1250</v>
                </pt>
                <pt idx="221">
                  <v>1250</v>
                </pt>
                <pt idx="222">
                  <v>1250</v>
                </pt>
                <pt idx="223">
                  <v>1250</v>
                </pt>
                <pt idx="224">
                  <v>1250</v>
                </pt>
                <pt idx="225">
                  <v>1250</v>
                </pt>
                <pt idx="226">
                  <v>1250</v>
                </pt>
                <pt idx="227">
                  <v>1250</v>
                </pt>
                <pt idx="228">
                  <v>1250</v>
                </pt>
                <pt idx="229">
                  <v>1250</v>
                </pt>
                <pt idx="230">
                  <v>1250</v>
                </pt>
                <pt idx="231">
                  <v>1250</v>
                </pt>
                <pt idx="232">
                  <v>1250</v>
                </pt>
                <pt idx="233">
                  <v>1250</v>
                </pt>
                <pt idx="234">
                  <v>1250</v>
                </pt>
                <pt idx="235">
                  <v>1250</v>
                </pt>
                <pt idx="236">
                  <v>1250</v>
                </pt>
                <pt idx="237">
                  <v>1136.716168085291</v>
                </pt>
                <pt idx="238">
                  <v>898.6546667899029</v>
                </pt>
                <pt idx="239">
                  <v>710.4501834469272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Muscle Pressure (Pmus)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APRV!$F$25</f>
              <strCache>
                <ptCount val="1"/>
                <pt idx="0">
                  <v>Pmus (cmH2O)</v>
                </pt>
              </strCache>
            </strRef>
          </tx>
          <spPr>
            <a:ln xmlns:a="http://schemas.openxmlformats.org/drawingml/2006/main" w="22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APRV!$F$26:$F$265</f>
              <numCache>
                <formatCode>0.000</formatCode>
                <ptCount val="240"/>
                <pt idx="0">
                  <v>0</v>
                </pt>
                <pt idx="1">
                  <v>-1.468179573288291</v>
                </pt>
                <pt idx="2">
                  <v>-2.886486611901134</v>
                </pt>
                <pt idx="3">
                  <v>-4.206742699348764</v>
                </pt>
                <pt idx="4">
                  <v>-5.384100108078187</v>
                </pt>
                <pt idx="5">
                  <v>-6.378565230181657</v>
                </pt>
                <pt idx="6">
                  <v>-7.1563571187042</v>
                </pt>
                <pt idx="7">
                  <v>-7.691054991313488</v>
                </pt>
                <pt idx="8">
                  <v>-7.96449571682464</v>
                </pt>
                <pt idx="9">
                  <v>-7.967390797895202</v>
                </pt>
                <pt idx="10">
                  <v>-7.699641891629178</v>
                </pt>
                <pt idx="11">
                  <v>-7.170344150183029</v>
                </pt>
                <pt idx="12">
                  <v>-6.397477267896726</v>
                </pt>
                <pt idx="13">
                  <v>-5.407294729757798</v>
                </pt>
                <pt idx="14">
                  <v>-4.233432007793525</v>
                </pt>
                <pt idx="15">
                  <v>-2.915763999033197</v>
                </pt>
                <pt idx="16">
                  <v>-1.499050516685797</v>
                </pt>
                <pt idx="17">
                  <v>-0.03141584579044703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  <pt idx="22">
                  <v>0</v>
                </pt>
                <pt idx="23">
                  <v>0</v>
                </pt>
                <pt idx="24">
                  <v>0</v>
                </pt>
                <pt idx="25">
                  <v>0</v>
                </pt>
                <pt idx="26">
                  <v>0</v>
                </pt>
                <pt idx="27">
                  <v>0</v>
                </pt>
                <pt idx="28">
                  <v>0</v>
                </pt>
                <pt idx="29">
                  <v>0</v>
                </pt>
                <pt idx="30">
                  <v>0</v>
                </pt>
                <pt idx="31">
                  <v>0</v>
                </pt>
                <pt idx="32">
                  <v>0</v>
                </pt>
                <pt idx="33">
                  <v>0</v>
                </pt>
                <pt idx="34">
                  <v>0</v>
                </pt>
                <pt idx="35">
                  <v>0</v>
                </pt>
                <pt idx="36">
                  <v>0</v>
                </pt>
                <pt idx="37">
                  <v>0</v>
                </pt>
                <pt idx="38">
                  <v>0</v>
                </pt>
                <pt idx="39">
                  <v>0</v>
                </pt>
                <pt idx="40">
                  <v>0</v>
                </pt>
                <pt idx="41">
                  <v>0</v>
                </pt>
                <pt idx="42">
                  <v>0</v>
                </pt>
                <pt idx="43">
                  <v>0</v>
                </pt>
                <pt idx="44">
                  <v>0</v>
                </pt>
                <pt idx="45">
                  <v>0</v>
                </pt>
                <pt idx="46">
                  <v>0</v>
                </pt>
                <pt idx="47">
                  <v>0</v>
                </pt>
                <pt idx="48">
                  <v>0</v>
                </pt>
                <pt idx="49">
                  <v>0</v>
                </pt>
                <pt idx="50">
                  <v>0</v>
                </pt>
                <pt idx="51">
                  <v>0</v>
                </pt>
                <pt idx="52">
                  <v>0</v>
                </pt>
                <pt idx="53">
                  <v>0</v>
                </pt>
                <pt idx="54">
                  <v>0</v>
                </pt>
                <pt idx="55">
                  <v>0</v>
                </pt>
                <pt idx="56">
                  <v>0</v>
                </pt>
                <pt idx="57">
                  <v>0</v>
                </pt>
                <pt idx="58">
                  <v>0</v>
                </pt>
                <pt idx="59">
                  <v>0</v>
                </pt>
                <pt idx="60">
                  <v>0</v>
                </pt>
                <pt idx="61">
                  <v>0</v>
                </pt>
                <pt idx="62">
                  <v>0</v>
                </pt>
                <pt idx="63">
                  <v>0</v>
                </pt>
                <pt idx="64">
                  <v>0</v>
                </pt>
                <pt idx="65">
                  <v>0</v>
                </pt>
                <pt idx="66">
                  <v>0</v>
                </pt>
                <pt idx="67">
                  <v>0</v>
                </pt>
                <pt idx="68">
                  <v>0</v>
                </pt>
                <pt idx="69">
                  <v>0</v>
                </pt>
                <pt idx="70">
                  <v>0</v>
                </pt>
                <pt idx="71">
                  <v>0</v>
                </pt>
                <pt idx="72">
                  <v>0</v>
                </pt>
                <pt idx="73">
                  <v>0</v>
                </pt>
                <pt idx="74">
                  <v>0</v>
                </pt>
                <pt idx="75">
                  <v>0</v>
                </pt>
                <pt idx="76">
                  <v>0</v>
                </pt>
                <pt idx="77">
                  <v>0</v>
                </pt>
                <pt idx="78">
                  <v>0</v>
                </pt>
                <pt idx="79">
                  <v>0</v>
                </pt>
                <pt idx="80">
                  <v>0</v>
                </pt>
                <pt idx="81">
                  <v>-1.468179573288287</v>
                </pt>
                <pt idx="82">
                  <v>-2.886486611901128</v>
                </pt>
                <pt idx="83">
                  <v>-4.206742699348774</v>
                </pt>
                <pt idx="84">
                  <v>-5.384100108078193</v>
                </pt>
                <pt idx="85">
                  <v>-6.37856523018166</v>
                </pt>
                <pt idx="86">
                  <v>-7.156357118704201</v>
                </pt>
                <pt idx="87">
                  <v>-7.691054991313487</v>
                </pt>
                <pt idx="88">
                  <v>-7.964495716824642</v>
                </pt>
                <pt idx="89">
                  <v>-7.967390797895201</v>
                </pt>
                <pt idx="90">
                  <v>-7.699641891629176</v>
                </pt>
                <pt idx="91">
                  <v>-7.170344150183027</v>
                </pt>
                <pt idx="92">
                  <v>-6.397477267896738</v>
                </pt>
                <pt idx="93">
                  <v>-5.407294729757782</v>
                </pt>
                <pt idx="94">
                  <v>-4.23343200779351</v>
                </pt>
                <pt idx="95">
                  <v>-2.915763999033207</v>
                </pt>
                <pt idx="96">
                  <v>-1.499050516685811</v>
                </pt>
                <pt idx="97">
                  <v>-0.0314158457904648</v>
                </pt>
                <pt idx="98">
                  <v>0</v>
                </pt>
                <pt idx="99">
                  <v>0</v>
                </pt>
                <pt idx="100">
                  <v>0</v>
                </pt>
                <pt idx="101">
                  <v>0</v>
                </pt>
                <pt idx="102">
                  <v>0</v>
                </pt>
                <pt idx="103">
                  <v>0</v>
                </pt>
                <pt idx="104">
                  <v>0</v>
                </pt>
                <pt idx="105">
                  <v>0</v>
                </pt>
                <pt idx="106">
                  <v>0</v>
                </pt>
                <pt idx="107">
                  <v>0</v>
                </pt>
                <pt idx="108">
                  <v>0</v>
                </pt>
                <pt idx="109">
                  <v>0</v>
                </pt>
                <pt idx="110">
                  <v>0</v>
                </pt>
                <pt idx="111">
                  <v>0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-1.468179573288331</v>
                </pt>
                <pt idx="162">
                  <v>-2.886486611901128</v>
                </pt>
                <pt idx="163">
                  <v>-4.206742699348754</v>
                </pt>
                <pt idx="164">
                  <v>-5.384100108078176</v>
                </pt>
                <pt idx="165">
                  <v>-6.378565230181646</v>
                </pt>
                <pt idx="166">
                  <v>-7.156357118704211</v>
                </pt>
                <pt idx="167">
                  <v>-7.691054991313481</v>
                </pt>
                <pt idx="168">
                  <v>-7.964495716824642</v>
                </pt>
                <pt idx="169">
                  <v>-7.967390797895205</v>
                </pt>
                <pt idx="170">
                  <v>-7.699641891629176</v>
                </pt>
                <pt idx="171">
                  <v>-7.170344150183027</v>
                </pt>
                <pt idx="172">
                  <v>-6.397477267896723</v>
                </pt>
                <pt idx="173">
                  <v>-5.407294729757798</v>
                </pt>
                <pt idx="174">
                  <v>-4.233432007793532</v>
                </pt>
                <pt idx="175">
                  <v>-2.915763999033207</v>
                </pt>
                <pt idx="176">
                  <v>-1.499050516685765</v>
                </pt>
                <pt idx="177">
                  <v>-0.0314158457904648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Esophageal Pressure (Pes)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APRV!$G$25</f>
              <strCache>
                <ptCount val="1"/>
                <pt idx="0">
                  <v>Pes (cmH2O)</v>
                </pt>
              </strCache>
            </strRef>
          </tx>
          <spPr>
            <a:ln xmlns:a="http://schemas.openxmlformats.org/drawingml/2006/main" w="22000">
              <a:solidFill>
                <a:srgbClr val="843C0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APRV!$G$26:$G$265</f>
              <numCache>
                <formatCode>0.000</formatCode>
                <ptCount val="240"/>
                <pt idx="0">
                  <v>6.25</v>
                </pt>
                <pt idx="1">
                  <v>4.781820426711709</v>
                </pt>
                <pt idx="2">
                  <v>3.363513388098866</v>
                </pt>
                <pt idx="3">
                  <v>2.043257300651236</v>
                </pt>
                <pt idx="4">
                  <v>0.8658998919218135</v>
                </pt>
                <pt idx="5">
                  <v>-0.1285652301816569</v>
                </pt>
                <pt idx="6">
                  <v>-0.9063571187042001</v>
                </pt>
                <pt idx="7">
                  <v>-1.441054991313488</v>
                </pt>
                <pt idx="8">
                  <v>-1.71449571682464</v>
                </pt>
                <pt idx="9">
                  <v>-1.717390797895202</v>
                </pt>
                <pt idx="10">
                  <v>-1.449641891629178</v>
                </pt>
                <pt idx="11">
                  <v>-0.9203441501830287</v>
                </pt>
                <pt idx="12">
                  <v>-0.1474772678967256</v>
                </pt>
                <pt idx="13">
                  <v>0.8427052702422015</v>
                </pt>
                <pt idx="14">
                  <v>2.016567992206475</v>
                </pt>
                <pt idx="15">
                  <v>3.334236000966803</v>
                </pt>
                <pt idx="16">
                  <v>4.750949483314203</v>
                </pt>
                <pt idx="17">
                  <v>6.218584154209553</v>
                </pt>
                <pt idx="18">
                  <v>6.25</v>
                </pt>
                <pt idx="19">
                  <v>6.25</v>
                </pt>
                <pt idx="20">
                  <v>6.25</v>
                </pt>
                <pt idx="21">
                  <v>6.25</v>
                </pt>
                <pt idx="22">
                  <v>6.25</v>
                </pt>
                <pt idx="23">
                  <v>6.25</v>
                </pt>
                <pt idx="24">
                  <v>6.25</v>
                </pt>
                <pt idx="25">
                  <v>6.25</v>
                </pt>
                <pt idx="26">
                  <v>6.25</v>
                </pt>
                <pt idx="27">
                  <v>6.25</v>
                </pt>
                <pt idx="28">
                  <v>6.25</v>
                </pt>
                <pt idx="29">
                  <v>6.25</v>
                </pt>
                <pt idx="30">
                  <v>6.25</v>
                </pt>
                <pt idx="31">
                  <v>6.25</v>
                </pt>
                <pt idx="32">
                  <v>6.25</v>
                </pt>
                <pt idx="33">
                  <v>6.25</v>
                </pt>
                <pt idx="34">
                  <v>6.25</v>
                </pt>
                <pt idx="35">
                  <v>6.25</v>
                </pt>
                <pt idx="36">
                  <v>6.25</v>
                </pt>
                <pt idx="37">
                  <v>6.25</v>
                </pt>
                <pt idx="38">
                  <v>6.25</v>
                </pt>
                <pt idx="39">
                  <v>6.25</v>
                </pt>
                <pt idx="40">
                  <v>6.25</v>
                </pt>
                <pt idx="41">
                  <v>6.25</v>
                </pt>
                <pt idx="42">
                  <v>6.25</v>
                </pt>
                <pt idx="43">
                  <v>6.25</v>
                </pt>
                <pt idx="44">
                  <v>6.25</v>
                </pt>
                <pt idx="45">
                  <v>6.25</v>
                </pt>
                <pt idx="46">
                  <v>6.25</v>
                </pt>
                <pt idx="47">
                  <v>6.25</v>
                </pt>
                <pt idx="48">
                  <v>6.25</v>
                </pt>
                <pt idx="49">
                  <v>6.25</v>
                </pt>
                <pt idx="50">
                  <v>6.25</v>
                </pt>
                <pt idx="51">
                  <v>6.25</v>
                </pt>
                <pt idx="52">
                  <v>6.25</v>
                </pt>
                <pt idx="53">
                  <v>6.25</v>
                </pt>
                <pt idx="54">
                  <v>6.25</v>
                </pt>
                <pt idx="55">
                  <v>6.25</v>
                </pt>
                <pt idx="56">
                  <v>6.25</v>
                </pt>
                <pt idx="57">
                  <v>6.25</v>
                </pt>
                <pt idx="58">
                  <v>6.25</v>
                </pt>
                <pt idx="59">
                  <v>6.25</v>
                </pt>
                <pt idx="60">
                  <v>6.25</v>
                </pt>
                <pt idx="61">
                  <v>6.25</v>
                </pt>
                <pt idx="62">
                  <v>6.25</v>
                </pt>
                <pt idx="63">
                  <v>6.25</v>
                </pt>
                <pt idx="64">
                  <v>6.25</v>
                </pt>
                <pt idx="65">
                  <v>6.25</v>
                </pt>
                <pt idx="66">
                  <v>6.25</v>
                </pt>
                <pt idx="67">
                  <v>6.25</v>
                </pt>
                <pt idx="68">
                  <v>6.25</v>
                </pt>
                <pt idx="69">
                  <v>6.25</v>
                </pt>
                <pt idx="70">
                  <v>6.25</v>
                </pt>
                <pt idx="71">
                  <v>6.25</v>
                </pt>
                <pt idx="72">
                  <v>6.25</v>
                </pt>
                <pt idx="73">
                  <v>6.25</v>
                </pt>
                <pt idx="74">
                  <v>6.25</v>
                </pt>
                <pt idx="75">
                  <v>6.25</v>
                </pt>
                <pt idx="76">
                  <v>6.25</v>
                </pt>
                <pt idx="77">
                  <v>5.683580840426432</v>
                </pt>
                <pt idx="78">
                  <v>4.49327333394953</v>
                </pt>
                <pt idx="79">
                  <v>3.552250917234623</v>
                </pt>
                <pt idx="80">
                  <v>6.25</v>
                </pt>
                <pt idx="81">
                  <v>4.781820426711713</v>
                </pt>
                <pt idx="82">
                  <v>3.363513388098872</v>
                </pt>
                <pt idx="83">
                  <v>2.043257300651226</v>
                </pt>
                <pt idx="84">
                  <v>0.8658998919218073</v>
                </pt>
                <pt idx="85">
                  <v>-0.1285652301816596</v>
                </pt>
                <pt idx="86">
                  <v>-0.906357118704201</v>
                </pt>
                <pt idx="87">
                  <v>-1.441054991313487</v>
                </pt>
                <pt idx="88">
                  <v>-1.714495716824642</v>
                </pt>
                <pt idx="89">
                  <v>-1.717390797895201</v>
                </pt>
                <pt idx="90">
                  <v>-1.449641891629176</v>
                </pt>
                <pt idx="91">
                  <v>-0.920344150183027</v>
                </pt>
                <pt idx="92">
                  <v>-0.147477267896738</v>
                </pt>
                <pt idx="93">
                  <v>0.8427052702422175</v>
                </pt>
                <pt idx="94">
                  <v>2.01656799220649</v>
                </pt>
                <pt idx="95">
                  <v>3.334236000966793</v>
                </pt>
                <pt idx="96">
                  <v>4.750949483314189</v>
                </pt>
                <pt idx="97">
                  <v>6.218584154209535</v>
                </pt>
                <pt idx="98">
                  <v>6.25</v>
                </pt>
                <pt idx="99">
                  <v>6.25</v>
                </pt>
                <pt idx="100">
                  <v>6.25</v>
                </pt>
                <pt idx="101">
                  <v>6.25</v>
                </pt>
                <pt idx="102">
                  <v>6.25</v>
                </pt>
                <pt idx="103">
                  <v>6.25</v>
                </pt>
                <pt idx="104">
                  <v>6.25</v>
                </pt>
                <pt idx="105">
                  <v>6.25</v>
                </pt>
                <pt idx="106">
                  <v>6.25</v>
                </pt>
                <pt idx="107">
                  <v>6.25</v>
                </pt>
                <pt idx="108">
                  <v>6.25</v>
                </pt>
                <pt idx="109">
                  <v>6.25</v>
                </pt>
                <pt idx="110">
                  <v>6.25</v>
                </pt>
                <pt idx="111">
                  <v>6.25</v>
                </pt>
                <pt idx="112">
                  <v>6.25</v>
                </pt>
                <pt idx="113">
                  <v>6.25</v>
                </pt>
                <pt idx="114">
                  <v>6.25</v>
                </pt>
                <pt idx="115">
                  <v>6.25</v>
                </pt>
                <pt idx="116">
                  <v>6.25</v>
                </pt>
                <pt idx="117">
                  <v>6.25</v>
                </pt>
                <pt idx="118">
                  <v>6.25</v>
                </pt>
                <pt idx="119">
                  <v>6.25</v>
                </pt>
                <pt idx="120">
                  <v>6.25</v>
                </pt>
                <pt idx="121">
                  <v>6.25</v>
                </pt>
                <pt idx="122">
                  <v>6.25</v>
                </pt>
                <pt idx="123">
                  <v>6.25</v>
                </pt>
                <pt idx="124">
                  <v>6.25</v>
                </pt>
                <pt idx="125">
                  <v>6.25</v>
                </pt>
                <pt idx="126">
                  <v>6.25</v>
                </pt>
                <pt idx="127">
                  <v>6.25</v>
                </pt>
                <pt idx="128">
                  <v>6.25</v>
                </pt>
                <pt idx="129">
                  <v>6.25</v>
                </pt>
                <pt idx="130">
                  <v>6.25</v>
                </pt>
                <pt idx="131">
                  <v>6.25</v>
                </pt>
                <pt idx="132">
                  <v>6.25</v>
                </pt>
                <pt idx="133">
                  <v>6.25</v>
                </pt>
                <pt idx="134">
                  <v>6.25</v>
                </pt>
                <pt idx="135">
                  <v>6.25</v>
                </pt>
                <pt idx="136">
                  <v>6.25</v>
                </pt>
                <pt idx="137">
                  <v>6.25</v>
                </pt>
                <pt idx="138">
                  <v>6.25</v>
                </pt>
                <pt idx="139">
                  <v>6.25</v>
                </pt>
                <pt idx="140">
                  <v>6.25</v>
                </pt>
                <pt idx="141">
                  <v>6.25</v>
                </pt>
                <pt idx="142">
                  <v>6.25</v>
                </pt>
                <pt idx="143">
                  <v>6.25</v>
                </pt>
                <pt idx="144">
                  <v>6.25</v>
                </pt>
                <pt idx="145">
                  <v>6.25</v>
                </pt>
                <pt idx="146">
                  <v>6.25</v>
                </pt>
                <pt idx="147">
                  <v>6.25</v>
                </pt>
                <pt idx="148">
                  <v>6.25</v>
                </pt>
                <pt idx="149">
                  <v>6.25</v>
                </pt>
                <pt idx="150">
                  <v>6.25</v>
                </pt>
                <pt idx="151">
                  <v>6.25</v>
                </pt>
                <pt idx="152">
                  <v>6.25</v>
                </pt>
                <pt idx="153">
                  <v>6.25</v>
                </pt>
                <pt idx="154">
                  <v>6.25</v>
                </pt>
                <pt idx="155">
                  <v>6.25</v>
                </pt>
                <pt idx="156">
                  <v>6.25</v>
                </pt>
                <pt idx="157">
                  <v>5.683580840426432</v>
                </pt>
                <pt idx="158">
                  <v>4.49327333394953</v>
                </pt>
                <pt idx="159">
                  <v>3.552250917234623</v>
                </pt>
                <pt idx="160">
                  <v>6.25</v>
                </pt>
                <pt idx="161">
                  <v>4.781820426711668</v>
                </pt>
                <pt idx="162">
                  <v>3.363513388098872</v>
                </pt>
                <pt idx="163">
                  <v>2.043257300651246</v>
                </pt>
                <pt idx="164">
                  <v>0.8658998919218241</v>
                </pt>
                <pt idx="165">
                  <v>-0.1285652301816462</v>
                </pt>
                <pt idx="166">
                  <v>-0.9063571187042108</v>
                </pt>
                <pt idx="167">
                  <v>-1.441054991313481</v>
                </pt>
                <pt idx="168">
                  <v>-1.714495716824642</v>
                </pt>
                <pt idx="169">
                  <v>-1.717390797895205</v>
                </pt>
                <pt idx="170">
                  <v>-1.449641891629176</v>
                </pt>
                <pt idx="171">
                  <v>-0.920344150183027</v>
                </pt>
                <pt idx="172">
                  <v>-0.1474772678967229</v>
                </pt>
                <pt idx="173">
                  <v>0.8427052702422015</v>
                </pt>
                <pt idx="174">
                  <v>2.016567992206468</v>
                </pt>
                <pt idx="175">
                  <v>3.334236000966793</v>
                </pt>
                <pt idx="176">
                  <v>4.750949483314235</v>
                </pt>
                <pt idx="177">
                  <v>6.218584154209535</v>
                </pt>
                <pt idx="178">
                  <v>6.25</v>
                </pt>
                <pt idx="179">
                  <v>6.25</v>
                </pt>
                <pt idx="180">
                  <v>6.25</v>
                </pt>
                <pt idx="181">
                  <v>6.25</v>
                </pt>
                <pt idx="182">
                  <v>6.25</v>
                </pt>
                <pt idx="183">
                  <v>6.25</v>
                </pt>
                <pt idx="184">
                  <v>6.25</v>
                </pt>
                <pt idx="185">
                  <v>6.25</v>
                </pt>
                <pt idx="186">
                  <v>6.25</v>
                </pt>
                <pt idx="187">
                  <v>6.25</v>
                </pt>
                <pt idx="188">
                  <v>6.25</v>
                </pt>
                <pt idx="189">
                  <v>6.25</v>
                </pt>
                <pt idx="190">
                  <v>6.25</v>
                </pt>
                <pt idx="191">
                  <v>6.25</v>
                </pt>
                <pt idx="192">
                  <v>6.25</v>
                </pt>
                <pt idx="193">
                  <v>6.25</v>
                </pt>
                <pt idx="194">
                  <v>6.25</v>
                </pt>
                <pt idx="195">
                  <v>6.25</v>
                </pt>
                <pt idx="196">
                  <v>6.25</v>
                </pt>
                <pt idx="197">
                  <v>6.25</v>
                </pt>
                <pt idx="198">
                  <v>6.25</v>
                </pt>
                <pt idx="199">
                  <v>6.25</v>
                </pt>
                <pt idx="200">
                  <v>6.25</v>
                </pt>
                <pt idx="201">
                  <v>6.25</v>
                </pt>
                <pt idx="202">
                  <v>6.25</v>
                </pt>
                <pt idx="203">
                  <v>6.25</v>
                </pt>
                <pt idx="204">
                  <v>6.25</v>
                </pt>
                <pt idx="205">
                  <v>6.25</v>
                </pt>
                <pt idx="206">
                  <v>6.25</v>
                </pt>
                <pt idx="207">
                  <v>6.25</v>
                </pt>
                <pt idx="208">
                  <v>6.25</v>
                </pt>
                <pt idx="209">
                  <v>6.25</v>
                </pt>
                <pt idx="210">
                  <v>6.25</v>
                </pt>
                <pt idx="211">
                  <v>6.25</v>
                </pt>
                <pt idx="212">
                  <v>6.25</v>
                </pt>
                <pt idx="213">
                  <v>6.25</v>
                </pt>
                <pt idx="214">
                  <v>6.25</v>
                </pt>
                <pt idx="215">
                  <v>6.25</v>
                </pt>
                <pt idx="216">
                  <v>6.25</v>
                </pt>
                <pt idx="217">
                  <v>6.25</v>
                </pt>
                <pt idx="218">
                  <v>6.25</v>
                </pt>
                <pt idx="219">
                  <v>6.25</v>
                </pt>
                <pt idx="220">
                  <v>6.25</v>
                </pt>
                <pt idx="221">
                  <v>6.25</v>
                </pt>
                <pt idx="222">
                  <v>6.25</v>
                </pt>
                <pt idx="223">
                  <v>6.25</v>
                </pt>
                <pt idx="224">
                  <v>6.25</v>
                </pt>
                <pt idx="225">
                  <v>6.25</v>
                </pt>
                <pt idx="226">
                  <v>6.25</v>
                </pt>
                <pt idx="227">
                  <v>6.25</v>
                </pt>
                <pt idx="228">
                  <v>6.25</v>
                </pt>
                <pt idx="229">
                  <v>6.25</v>
                </pt>
                <pt idx="230">
                  <v>6.25</v>
                </pt>
                <pt idx="231">
                  <v>6.25</v>
                </pt>
                <pt idx="232">
                  <v>6.25</v>
                </pt>
                <pt idx="233">
                  <v>6.25</v>
                </pt>
                <pt idx="234">
                  <v>6.25</v>
                </pt>
                <pt idx="235">
                  <v>6.25</v>
                </pt>
                <pt idx="236">
                  <v>6.25</v>
                </pt>
                <pt idx="237">
                  <v>5.683580840426452</v>
                </pt>
                <pt idx="238">
                  <v>4.493273333949515</v>
                </pt>
                <pt idx="239">
                  <v>3.552250917234636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Pressure (PL)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APRV!$H$25</f>
              <strCache>
                <ptCount val="1"/>
                <pt idx="0">
                  <v>PL (cmH2O)</v>
                </pt>
              </strCache>
            </strRef>
          </tx>
          <spPr>
            <a:ln xmlns:a="http://schemas.openxmlformats.org/drawingml/2006/main" w="22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APRV!$H$26:$H$265</f>
              <numCache>
                <formatCode>0.000</formatCode>
                <ptCount val="240"/>
                <pt idx="0">
                  <v>18.75</v>
                </pt>
                <pt idx="1">
                  <v>20.21817957328829</v>
                </pt>
                <pt idx="2">
                  <v>21.63648661190113</v>
                </pt>
                <pt idx="3">
                  <v>22.95674269934877</v>
                </pt>
                <pt idx="4">
                  <v>24.13410010807819</v>
                </pt>
                <pt idx="5">
                  <v>25.12856523018166</v>
                </pt>
                <pt idx="6">
                  <v>25.9063571187042</v>
                </pt>
                <pt idx="7">
                  <v>26.44105499131349</v>
                </pt>
                <pt idx="8">
                  <v>26.71449571682464</v>
                </pt>
                <pt idx="9">
                  <v>26.7173907978952</v>
                </pt>
                <pt idx="10">
                  <v>26.44964189162918</v>
                </pt>
                <pt idx="11">
                  <v>25.92034415018303</v>
                </pt>
                <pt idx="12">
                  <v>25.14747726789673</v>
                </pt>
                <pt idx="13">
                  <v>24.1572947297578</v>
                </pt>
                <pt idx="14">
                  <v>22.98343200779352</v>
                </pt>
                <pt idx="15">
                  <v>21.6657639990332</v>
                </pt>
                <pt idx="16">
                  <v>20.2490505166858</v>
                </pt>
                <pt idx="17">
                  <v>18.78141584579045</v>
                </pt>
                <pt idx="18">
                  <v>18.75</v>
                </pt>
                <pt idx="19">
                  <v>18.75</v>
                </pt>
                <pt idx="20">
                  <v>18.75</v>
                </pt>
                <pt idx="21">
                  <v>18.75</v>
                </pt>
                <pt idx="22">
                  <v>18.75</v>
                </pt>
                <pt idx="23">
                  <v>18.75</v>
                </pt>
                <pt idx="24">
                  <v>18.75</v>
                </pt>
                <pt idx="25">
                  <v>18.75</v>
                </pt>
                <pt idx="26">
                  <v>18.75</v>
                </pt>
                <pt idx="27">
                  <v>18.75</v>
                </pt>
                <pt idx="28">
                  <v>18.75</v>
                </pt>
                <pt idx="29">
                  <v>18.75</v>
                </pt>
                <pt idx="30">
                  <v>18.75</v>
                </pt>
                <pt idx="31">
                  <v>18.75</v>
                </pt>
                <pt idx="32">
                  <v>18.75</v>
                </pt>
                <pt idx="33">
                  <v>18.75</v>
                </pt>
                <pt idx="34">
                  <v>18.75</v>
                </pt>
                <pt idx="35">
                  <v>18.75</v>
                </pt>
                <pt idx="36">
                  <v>18.75</v>
                </pt>
                <pt idx="37">
                  <v>18.75</v>
                </pt>
                <pt idx="38">
                  <v>18.75</v>
                </pt>
                <pt idx="39">
                  <v>18.75</v>
                </pt>
                <pt idx="40">
                  <v>18.75</v>
                </pt>
                <pt idx="41">
                  <v>18.75</v>
                </pt>
                <pt idx="42">
                  <v>18.75</v>
                </pt>
                <pt idx="43">
                  <v>18.75</v>
                </pt>
                <pt idx="44">
                  <v>18.75</v>
                </pt>
                <pt idx="45">
                  <v>18.75</v>
                </pt>
                <pt idx="46">
                  <v>18.75</v>
                </pt>
                <pt idx="47">
                  <v>18.75</v>
                </pt>
                <pt idx="48">
                  <v>18.75</v>
                </pt>
                <pt idx="49">
                  <v>18.75</v>
                </pt>
                <pt idx="50">
                  <v>18.75</v>
                </pt>
                <pt idx="51">
                  <v>18.75</v>
                </pt>
                <pt idx="52">
                  <v>18.75</v>
                </pt>
                <pt idx="53">
                  <v>18.75</v>
                </pt>
                <pt idx="54">
                  <v>18.75</v>
                </pt>
                <pt idx="55">
                  <v>18.75</v>
                </pt>
                <pt idx="56">
                  <v>18.75</v>
                </pt>
                <pt idx="57">
                  <v>18.75</v>
                </pt>
                <pt idx="58">
                  <v>18.75</v>
                </pt>
                <pt idx="59">
                  <v>18.75</v>
                </pt>
                <pt idx="60">
                  <v>18.75</v>
                </pt>
                <pt idx="61">
                  <v>18.75</v>
                </pt>
                <pt idx="62">
                  <v>18.75</v>
                </pt>
                <pt idx="63">
                  <v>18.75</v>
                </pt>
                <pt idx="64">
                  <v>18.75</v>
                </pt>
                <pt idx="65">
                  <v>18.75</v>
                </pt>
                <pt idx="66">
                  <v>18.75</v>
                </pt>
                <pt idx="67">
                  <v>18.75</v>
                </pt>
                <pt idx="68">
                  <v>18.75</v>
                </pt>
                <pt idx="69">
                  <v>18.75</v>
                </pt>
                <pt idx="70">
                  <v>18.75</v>
                </pt>
                <pt idx="71">
                  <v>18.75</v>
                </pt>
                <pt idx="72">
                  <v>18.75</v>
                </pt>
                <pt idx="73">
                  <v>18.75</v>
                </pt>
                <pt idx="74">
                  <v>18.75</v>
                </pt>
                <pt idx="75">
                  <v>18.75</v>
                </pt>
                <pt idx="76">
                  <v>18.75</v>
                </pt>
                <pt idx="77">
                  <v>-5.683580840426432</v>
                </pt>
                <pt idx="78">
                  <v>-4.49327333394953</v>
                </pt>
                <pt idx="79">
                  <v>-3.552250917234623</v>
                </pt>
                <pt idx="80">
                  <v>18.75</v>
                </pt>
                <pt idx="81">
                  <v>20.21817957328829</v>
                </pt>
                <pt idx="82">
                  <v>21.63648661190113</v>
                </pt>
                <pt idx="83">
                  <v>22.95674269934877</v>
                </pt>
                <pt idx="84">
                  <v>24.13410010807819</v>
                </pt>
                <pt idx="85">
                  <v>25.12856523018166</v>
                </pt>
                <pt idx="86">
                  <v>25.9063571187042</v>
                </pt>
                <pt idx="87">
                  <v>26.44105499131349</v>
                </pt>
                <pt idx="88">
                  <v>26.71449571682464</v>
                </pt>
                <pt idx="89">
                  <v>26.7173907978952</v>
                </pt>
                <pt idx="90">
                  <v>26.44964189162918</v>
                </pt>
                <pt idx="91">
                  <v>25.92034415018303</v>
                </pt>
                <pt idx="92">
                  <v>25.14747726789674</v>
                </pt>
                <pt idx="93">
                  <v>24.15729472975778</v>
                </pt>
                <pt idx="94">
                  <v>22.98343200779351</v>
                </pt>
                <pt idx="95">
                  <v>21.66576399903321</v>
                </pt>
                <pt idx="96">
                  <v>20.24905051668581</v>
                </pt>
                <pt idx="97">
                  <v>18.78141584579047</v>
                </pt>
                <pt idx="98">
                  <v>18.75</v>
                </pt>
                <pt idx="99">
                  <v>18.75</v>
                </pt>
                <pt idx="100">
                  <v>18.75</v>
                </pt>
                <pt idx="101">
                  <v>18.75</v>
                </pt>
                <pt idx="102">
                  <v>18.75</v>
                </pt>
                <pt idx="103">
                  <v>18.75</v>
                </pt>
                <pt idx="104">
                  <v>18.75</v>
                </pt>
                <pt idx="105">
                  <v>18.75</v>
                </pt>
                <pt idx="106">
                  <v>18.75</v>
                </pt>
                <pt idx="107">
                  <v>18.75</v>
                </pt>
                <pt idx="108">
                  <v>18.75</v>
                </pt>
                <pt idx="109">
                  <v>18.75</v>
                </pt>
                <pt idx="110">
                  <v>18.75</v>
                </pt>
                <pt idx="111">
                  <v>18.75</v>
                </pt>
                <pt idx="112">
                  <v>18.75</v>
                </pt>
                <pt idx="113">
                  <v>18.75</v>
                </pt>
                <pt idx="114">
                  <v>18.75</v>
                </pt>
                <pt idx="115">
                  <v>18.75</v>
                </pt>
                <pt idx="116">
                  <v>18.75</v>
                </pt>
                <pt idx="117">
                  <v>18.75</v>
                </pt>
                <pt idx="118">
                  <v>18.75</v>
                </pt>
                <pt idx="119">
                  <v>18.75</v>
                </pt>
                <pt idx="120">
                  <v>18.75</v>
                </pt>
                <pt idx="121">
                  <v>18.75</v>
                </pt>
                <pt idx="122">
                  <v>18.75</v>
                </pt>
                <pt idx="123">
                  <v>18.75</v>
                </pt>
                <pt idx="124">
                  <v>18.75</v>
                </pt>
                <pt idx="125">
                  <v>18.75</v>
                </pt>
                <pt idx="126">
                  <v>18.75</v>
                </pt>
                <pt idx="127">
                  <v>18.75</v>
                </pt>
                <pt idx="128">
                  <v>18.75</v>
                </pt>
                <pt idx="129">
                  <v>18.75</v>
                </pt>
                <pt idx="130">
                  <v>18.75</v>
                </pt>
                <pt idx="131">
                  <v>18.75</v>
                </pt>
                <pt idx="132">
                  <v>18.75</v>
                </pt>
                <pt idx="133">
                  <v>18.75</v>
                </pt>
                <pt idx="134">
                  <v>18.75</v>
                </pt>
                <pt idx="135">
                  <v>18.75</v>
                </pt>
                <pt idx="136">
                  <v>18.75</v>
                </pt>
                <pt idx="137">
                  <v>18.75</v>
                </pt>
                <pt idx="138">
                  <v>18.75</v>
                </pt>
                <pt idx="139">
                  <v>18.75</v>
                </pt>
                <pt idx="140">
                  <v>18.75</v>
                </pt>
                <pt idx="141">
                  <v>18.75</v>
                </pt>
                <pt idx="142">
                  <v>18.75</v>
                </pt>
                <pt idx="143">
                  <v>18.75</v>
                </pt>
                <pt idx="144">
                  <v>18.75</v>
                </pt>
                <pt idx="145">
                  <v>18.75</v>
                </pt>
                <pt idx="146">
                  <v>18.75</v>
                </pt>
                <pt idx="147">
                  <v>18.75</v>
                </pt>
                <pt idx="148">
                  <v>18.75</v>
                </pt>
                <pt idx="149">
                  <v>18.75</v>
                </pt>
                <pt idx="150">
                  <v>18.75</v>
                </pt>
                <pt idx="151">
                  <v>18.75</v>
                </pt>
                <pt idx="152">
                  <v>18.75</v>
                </pt>
                <pt idx="153">
                  <v>18.75</v>
                </pt>
                <pt idx="154">
                  <v>18.75</v>
                </pt>
                <pt idx="155">
                  <v>18.75</v>
                </pt>
                <pt idx="156">
                  <v>18.75</v>
                </pt>
                <pt idx="157">
                  <v>-5.683580840426432</v>
                </pt>
                <pt idx="158">
                  <v>-4.49327333394953</v>
                </pt>
                <pt idx="159">
                  <v>-3.552250917234623</v>
                </pt>
                <pt idx="160">
                  <v>18.75</v>
                </pt>
                <pt idx="161">
                  <v>20.21817957328833</v>
                </pt>
                <pt idx="162">
                  <v>21.63648661190113</v>
                </pt>
                <pt idx="163">
                  <v>22.95674269934876</v>
                </pt>
                <pt idx="164">
                  <v>24.13410010807818</v>
                </pt>
                <pt idx="165">
                  <v>25.12856523018165</v>
                </pt>
                <pt idx="166">
                  <v>25.90635711870421</v>
                </pt>
                <pt idx="167">
                  <v>26.44105499131348</v>
                </pt>
                <pt idx="168">
                  <v>26.71449571682464</v>
                </pt>
                <pt idx="169">
                  <v>26.71739079789521</v>
                </pt>
                <pt idx="170">
                  <v>26.44964189162918</v>
                </pt>
                <pt idx="171">
                  <v>25.92034415018303</v>
                </pt>
                <pt idx="172">
                  <v>25.14747726789672</v>
                </pt>
                <pt idx="173">
                  <v>24.1572947297578</v>
                </pt>
                <pt idx="174">
                  <v>22.98343200779353</v>
                </pt>
                <pt idx="175">
                  <v>21.66576399903321</v>
                </pt>
                <pt idx="176">
                  <v>20.24905051668576</v>
                </pt>
                <pt idx="177">
                  <v>18.78141584579047</v>
                </pt>
                <pt idx="178">
                  <v>18.75</v>
                </pt>
                <pt idx="179">
                  <v>18.75</v>
                </pt>
                <pt idx="180">
                  <v>18.75</v>
                </pt>
                <pt idx="181">
                  <v>18.75</v>
                </pt>
                <pt idx="182">
                  <v>18.75</v>
                </pt>
                <pt idx="183">
                  <v>18.75</v>
                </pt>
                <pt idx="184">
                  <v>18.75</v>
                </pt>
                <pt idx="185">
                  <v>18.75</v>
                </pt>
                <pt idx="186">
                  <v>18.75</v>
                </pt>
                <pt idx="187">
                  <v>18.75</v>
                </pt>
                <pt idx="188">
                  <v>18.75</v>
                </pt>
                <pt idx="189">
                  <v>18.75</v>
                </pt>
                <pt idx="190">
                  <v>18.75</v>
                </pt>
                <pt idx="191">
                  <v>18.75</v>
                </pt>
                <pt idx="192">
                  <v>18.75</v>
                </pt>
                <pt idx="193">
                  <v>18.75</v>
                </pt>
                <pt idx="194">
                  <v>18.75</v>
                </pt>
                <pt idx="195">
                  <v>18.75</v>
                </pt>
                <pt idx="196">
                  <v>18.75</v>
                </pt>
                <pt idx="197">
                  <v>18.75</v>
                </pt>
                <pt idx="198">
                  <v>18.75</v>
                </pt>
                <pt idx="199">
                  <v>18.75</v>
                </pt>
                <pt idx="200">
                  <v>18.75</v>
                </pt>
                <pt idx="201">
                  <v>18.75</v>
                </pt>
                <pt idx="202">
                  <v>18.75</v>
                </pt>
                <pt idx="203">
                  <v>18.75</v>
                </pt>
                <pt idx="204">
                  <v>18.75</v>
                </pt>
                <pt idx="205">
                  <v>18.75</v>
                </pt>
                <pt idx="206">
                  <v>18.75</v>
                </pt>
                <pt idx="207">
                  <v>18.75</v>
                </pt>
                <pt idx="208">
                  <v>18.75</v>
                </pt>
                <pt idx="209">
                  <v>18.75</v>
                </pt>
                <pt idx="210">
                  <v>18.75</v>
                </pt>
                <pt idx="211">
                  <v>18.75</v>
                </pt>
                <pt idx="212">
                  <v>18.75</v>
                </pt>
                <pt idx="213">
                  <v>18.75</v>
                </pt>
                <pt idx="214">
                  <v>18.75</v>
                </pt>
                <pt idx="215">
                  <v>18.75</v>
                </pt>
                <pt idx="216">
                  <v>18.75</v>
                </pt>
                <pt idx="217">
                  <v>18.75</v>
                </pt>
                <pt idx="218">
                  <v>18.75</v>
                </pt>
                <pt idx="219">
                  <v>18.75</v>
                </pt>
                <pt idx="220">
                  <v>18.75</v>
                </pt>
                <pt idx="221">
                  <v>18.75</v>
                </pt>
                <pt idx="222">
                  <v>18.75</v>
                </pt>
                <pt idx="223">
                  <v>18.75</v>
                </pt>
                <pt idx="224">
                  <v>18.75</v>
                </pt>
                <pt idx="225">
                  <v>18.75</v>
                </pt>
                <pt idx="226">
                  <v>18.75</v>
                </pt>
                <pt idx="227">
                  <v>18.75</v>
                </pt>
                <pt idx="228">
                  <v>18.75</v>
                </pt>
                <pt idx="229">
                  <v>18.75</v>
                </pt>
                <pt idx="230">
                  <v>18.75</v>
                </pt>
                <pt idx="231">
                  <v>18.75</v>
                </pt>
                <pt idx="232">
                  <v>18.75</v>
                </pt>
                <pt idx="233">
                  <v>18.75</v>
                </pt>
                <pt idx="234">
                  <v>18.75</v>
                </pt>
                <pt idx="235">
                  <v>18.75</v>
                </pt>
                <pt idx="236">
                  <v>18.75</v>
                </pt>
                <pt idx="237">
                  <v>-5.683580840426452</v>
                </pt>
                <pt idx="238">
                  <v>-4.493273333949515</v>
                </pt>
                <pt idx="239">
                  <v>-3.552250917234636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Alveolar Pressure (Palv) — APRV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APRV!$I$25</f>
              <strCache>
                <ptCount val="1"/>
                <pt idx="0">
                  <v>Palv (cmH2O)</v>
                </pt>
              </strCache>
            </strRef>
          </tx>
          <spPr>
            <a:ln xmlns:a="http://schemas.openxmlformats.org/drawingml/2006/main" w="22000">
              <a:solidFill>
                <a:srgbClr val="92D05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APRV!$B$26:$B$265</f>
              <numCache>
                <formatCode>0.000</formatCode>
                <ptCount val="240"/>
                <pt idx="0">
                  <v>0</v>
                </pt>
                <pt idx="1">
                  <v>0.05875</v>
                </pt>
                <pt idx="2">
                  <v>0.1175</v>
                </pt>
                <pt idx="3">
                  <v>0.17625</v>
                </pt>
                <pt idx="4">
                  <v>0.235</v>
                </pt>
                <pt idx="5">
                  <v>0.29375</v>
                </pt>
                <pt idx="6">
                  <v>0.3525</v>
                </pt>
                <pt idx="7">
                  <v>0.41125</v>
                </pt>
                <pt idx="8">
                  <v>0.47</v>
                </pt>
                <pt idx="9">
                  <v>0.5287500000000001</v>
                </pt>
                <pt idx="10">
                  <v>0.5875</v>
                </pt>
                <pt idx="11">
                  <v>0.6462500000000001</v>
                </pt>
                <pt idx="12">
                  <v>0.705</v>
                </pt>
                <pt idx="13">
                  <v>0.76375</v>
                </pt>
                <pt idx="14">
                  <v>0.8225</v>
                </pt>
                <pt idx="15">
                  <v>0.8812500000000001</v>
                </pt>
                <pt idx="16">
                  <v>0.9400000000000001</v>
                </pt>
                <pt idx="17">
                  <v>0.99875</v>
                </pt>
                <pt idx="18">
                  <v>1.0575</v>
                </pt>
                <pt idx="19">
                  <v>1.11625</v>
                </pt>
                <pt idx="20">
                  <v>1.175</v>
                </pt>
                <pt idx="21">
                  <v>1.23375</v>
                </pt>
                <pt idx="22">
                  <v>1.2925</v>
                </pt>
                <pt idx="23">
                  <v>1.35125</v>
                </pt>
                <pt idx="24">
                  <v>1.41</v>
                </pt>
                <pt idx="25">
                  <v>1.46875</v>
                </pt>
                <pt idx="26">
                  <v>1.5275</v>
                </pt>
                <pt idx="27">
                  <v>1.58625</v>
                </pt>
                <pt idx="28">
                  <v>1.645</v>
                </pt>
                <pt idx="29">
                  <v>1.70375</v>
                </pt>
                <pt idx="30">
                  <v>1.7625</v>
                </pt>
                <pt idx="31">
                  <v>1.82125</v>
                </pt>
                <pt idx="32">
                  <v>1.88</v>
                </pt>
                <pt idx="33">
                  <v>1.93875</v>
                </pt>
                <pt idx="34">
                  <v>1.9975</v>
                </pt>
                <pt idx="35">
                  <v>2.05625</v>
                </pt>
                <pt idx="36">
                  <v>2.115</v>
                </pt>
                <pt idx="37">
                  <v>2.17375</v>
                </pt>
                <pt idx="38">
                  <v>2.2325</v>
                </pt>
                <pt idx="39">
                  <v>2.29125</v>
                </pt>
                <pt idx="40">
                  <v>2.35</v>
                </pt>
                <pt idx="41">
                  <v>2.40875</v>
                </pt>
                <pt idx="42">
                  <v>2.4675</v>
                </pt>
                <pt idx="43">
                  <v>2.52625</v>
                </pt>
                <pt idx="44">
                  <v>2.585</v>
                </pt>
                <pt idx="45">
                  <v>2.64375</v>
                </pt>
                <pt idx="46">
                  <v>2.7025</v>
                </pt>
                <pt idx="47">
                  <v>2.76125</v>
                </pt>
                <pt idx="48">
                  <v>2.82</v>
                </pt>
                <pt idx="49">
                  <v>2.87875</v>
                </pt>
                <pt idx="50">
                  <v>2.9375</v>
                </pt>
                <pt idx="51">
                  <v>2.99625</v>
                </pt>
                <pt idx="52">
                  <v>3.055</v>
                </pt>
                <pt idx="53">
                  <v>3.11375</v>
                </pt>
                <pt idx="54">
                  <v>3.1725</v>
                </pt>
                <pt idx="55">
                  <v>3.23125</v>
                </pt>
                <pt idx="56">
                  <v>3.29</v>
                </pt>
                <pt idx="57">
                  <v>3.34875</v>
                </pt>
                <pt idx="58">
                  <v>3.4075</v>
                </pt>
                <pt idx="59">
                  <v>3.46625</v>
                </pt>
                <pt idx="60">
                  <v>3.525</v>
                </pt>
                <pt idx="61">
                  <v>3.58375</v>
                </pt>
                <pt idx="62">
                  <v>3.6425</v>
                </pt>
                <pt idx="63">
                  <v>3.70125</v>
                </pt>
                <pt idx="64">
                  <v>3.76</v>
                </pt>
                <pt idx="65">
                  <v>3.81875</v>
                </pt>
                <pt idx="66">
                  <v>3.8775</v>
                </pt>
                <pt idx="67">
                  <v>3.93625</v>
                </pt>
                <pt idx="68">
                  <v>3.995</v>
                </pt>
                <pt idx="69">
                  <v>4.05375</v>
                </pt>
                <pt idx="70">
                  <v>4.1125</v>
                </pt>
                <pt idx="71">
                  <v>4.17125</v>
                </pt>
                <pt idx="72">
                  <v>4.23</v>
                </pt>
                <pt idx="73">
                  <v>4.28875</v>
                </pt>
                <pt idx="74">
                  <v>4.3475</v>
                </pt>
                <pt idx="75">
                  <v>4.40625</v>
                </pt>
                <pt idx="76">
                  <v>4.465</v>
                </pt>
                <pt idx="77">
                  <v>4.523750000000001</v>
                </pt>
                <pt idx="78">
                  <v>4.5825</v>
                </pt>
                <pt idx="79">
                  <v>4.64125</v>
                </pt>
                <pt idx="80">
                  <v>4.7</v>
                </pt>
                <pt idx="81">
                  <v>4.75875</v>
                </pt>
                <pt idx="82">
                  <v>4.8175</v>
                </pt>
                <pt idx="83">
                  <v>4.876250000000001</v>
                </pt>
                <pt idx="84">
                  <v>4.935</v>
                </pt>
                <pt idx="85">
                  <v>4.99375</v>
                </pt>
                <pt idx="86">
                  <v>5.0525</v>
                </pt>
                <pt idx="87">
                  <v>5.11125</v>
                </pt>
                <pt idx="88">
                  <v>5.170000000000001</v>
                </pt>
                <pt idx="89">
                  <v>5.228750000000001</v>
                </pt>
                <pt idx="90">
                  <v>5.287500000000001</v>
                </pt>
                <pt idx="91">
                  <v>5.34625</v>
                </pt>
                <pt idx="92">
                  <v>5.404999999999999</v>
                </pt>
                <pt idx="93">
                  <v>5.463750000000001</v>
                </pt>
                <pt idx="94">
                  <v>5.522500000000001</v>
                </pt>
                <pt idx="95">
                  <v>5.58125</v>
                </pt>
                <pt idx="96">
                  <v>5.64</v>
                </pt>
                <pt idx="97">
                  <v>5.69875</v>
                </pt>
                <pt idx="98">
                  <v>5.7575</v>
                </pt>
                <pt idx="99">
                  <v>5.81625</v>
                </pt>
                <pt idx="100">
                  <v>5.875</v>
                </pt>
                <pt idx="101">
                  <v>5.93375</v>
                </pt>
                <pt idx="102">
                  <v>5.9925</v>
                </pt>
                <pt idx="103">
                  <v>6.05125</v>
                </pt>
                <pt idx="104">
                  <v>6.11</v>
                </pt>
                <pt idx="105">
                  <v>6.16875</v>
                </pt>
                <pt idx="106">
                  <v>6.2275</v>
                </pt>
                <pt idx="107">
                  <v>6.28625</v>
                </pt>
                <pt idx="108">
                  <v>6.345000000000001</v>
                </pt>
                <pt idx="109">
                  <v>6.40375</v>
                </pt>
                <pt idx="110">
                  <v>6.4625</v>
                </pt>
                <pt idx="111">
                  <v>6.52125</v>
                </pt>
                <pt idx="112">
                  <v>6.58</v>
                </pt>
                <pt idx="113">
                  <v>6.638750000000001</v>
                </pt>
                <pt idx="114">
                  <v>6.697500000000001</v>
                </pt>
                <pt idx="115">
                  <v>6.756250000000001</v>
                </pt>
                <pt idx="116">
                  <v>6.815</v>
                </pt>
                <pt idx="117">
                  <v>6.87375</v>
                </pt>
                <pt idx="118">
                  <v>6.932500000000001</v>
                </pt>
                <pt idx="119">
                  <v>6.991250000000001</v>
                </pt>
                <pt idx="120">
                  <v>7.050000000000001</v>
                </pt>
                <pt idx="121">
                  <v>7.10875</v>
                </pt>
                <pt idx="122">
                  <v>7.1675</v>
                </pt>
                <pt idx="123">
                  <v>7.22625</v>
                </pt>
                <pt idx="124">
                  <v>7.285</v>
                </pt>
                <pt idx="125">
                  <v>7.34375</v>
                </pt>
                <pt idx="126">
                  <v>7.4025</v>
                </pt>
                <pt idx="127">
                  <v>7.46125</v>
                </pt>
                <pt idx="128">
                  <v>7.52</v>
                </pt>
                <pt idx="129">
                  <v>7.57875</v>
                </pt>
                <pt idx="130">
                  <v>7.6375</v>
                </pt>
                <pt idx="131">
                  <v>7.69625</v>
                </pt>
                <pt idx="132">
                  <v>7.755</v>
                </pt>
                <pt idx="133">
                  <v>7.813750000000001</v>
                </pt>
                <pt idx="134">
                  <v>7.8725</v>
                </pt>
                <pt idx="135">
                  <v>7.93125</v>
                </pt>
                <pt idx="136">
                  <v>7.99</v>
                </pt>
                <pt idx="137">
                  <v>8.04875</v>
                </pt>
                <pt idx="138">
                  <v>8.1075</v>
                </pt>
                <pt idx="139">
                  <v>8.16625</v>
                </pt>
                <pt idx="140">
                  <v>8.225</v>
                </pt>
                <pt idx="141">
                  <v>8.28375</v>
                </pt>
                <pt idx="142">
                  <v>8.342499999999999</v>
                </pt>
                <pt idx="143">
                  <v>8.401250000000001</v>
                </pt>
                <pt idx="144">
                  <v>8.460000000000001</v>
                </pt>
                <pt idx="145">
                  <v>8.518750000000001</v>
                </pt>
                <pt idx="146">
                  <v>8.577500000000001</v>
                </pt>
                <pt idx="147">
                  <v>8.63625</v>
                </pt>
                <pt idx="148">
                  <v>8.695</v>
                </pt>
                <pt idx="149">
                  <v>8.75375</v>
                </pt>
                <pt idx="150">
                  <v>8.8125</v>
                </pt>
                <pt idx="151">
                  <v>8.87125</v>
                </pt>
                <pt idx="152">
                  <v>8.93</v>
                </pt>
                <pt idx="153">
                  <v>8.988750000000001</v>
                </pt>
                <pt idx="154">
                  <v>9.047500000000001</v>
                </pt>
                <pt idx="155">
                  <v>9.106250000000001</v>
                </pt>
                <pt idx="156">
                  <v>9.165000000000001</v>
                </pt>
                <pt idx="157">
                  <v>9.223750000000001</v>
                </pt>
                <pt idx="158">
                  <v>9.282500000000001</v>
                </pt>
                <pt idx="159">
                  <v>9.34125</v>
                </pt>
                <pt idx="160">
                  <v>9.4</v>
                </pt>
                <pt idx="161">
                  <v>9.458750000000002</v>
                </pt>
                <pt idx="162">
                  <v>9.5175</v>
                </pt>
                <pt idx="163">
                  <v>9.57625</v>
                </pt>
                <pt idx="164">
                  <v>9.635</v>
                </pt>
                <pt idx="165">
                  <v>9.69375</v>
                </pt>
                <pt idx="166">
                  <v>9.752500000000001</v>
                </pt>
                <pt idx="167">
                  <v>9.811249999999999</v>
                </pt>
                <pt idx="168">
                  <v>9.870000000000001</v>
                </pt>
                <pt idx="169">
                  <v>9.928749999999999</v>
                </pt>
                <pt idx="170">
                  <v>9.987500000000001</v>
                </pt>
                <pt idx="171">
                  <v>10.04625</v>
                </pt>
                <pt idx="172">
                  <v>10.105</v>
                </pt>
                <pt idx="173">
                  <v>10.16375</v>
                </pt>
                <pt idx="174">
                  <v>10.2225</v>
                </pt>
                <pt idx="175">
                  <v>10.28125</v>
                </pt>
                <pt idx="176">
                  <v>10.34</v>
                </pt>
                <pt idx="177">
                  <v>10.39875</v>
                </pt>
                <pt idx="178">
                  <v>10.4575</v>
                </pt>
                <pt idx="179">
                  <v>10.51625</v>
                </pt>
                <pt idx="180">
                  <v>10.575</v>
                </pt>
                <pt idx="181">
                  <v>10.63375</v>
                </pt>
                <pt idx="182">
                  <v>10.6925</v>
                </pt>
                <pt idx="183">
                  <v>10.75125</v>
                </pt>
                <pt idx="184">
                  <v>10.81</v>
                </pt>
                <pt idx="185">
                  <v>10.86875</v>
                </pt>
                <pt idx="186">
                  <v>10.9275</v>
                </pt>
                <pt idx="187">
                  <v>10.98625</v>
                </pt>
                <pt idx="188">
                  <v>11.045</v>
                </pt>
                <pt idx="189">
                  <v>11.10375</v>
                </pt>
                <pt idx="190">
                  <v>11.1625</v>
                </pt>
                <pt idx="191">
                  <v>11.22125</v>
                </pt>
                <pt idx="192">
                  <v>11.28</v>
                </pt>
                <pt idx="193">
                  <v>11.33875</v>
                </pt>
                <pt idx="194">
                  <v>11.3975</v>
                </pt>
                <pt idx="195">
                  <v>11.45625</v>
                </pt>
                <pt idx="196">
                  <v>11.515</v>
                </pt>
                <pt idx="197">
                  <v>11.57375</v>
                </pt>
                <pt idx="198">
                  <v>11.6325</v>
                </pt>
                <pt idx="199">
                  <v>11.69125</v>
                </pt>
                <pt idx="200">
                  <v>11.75</v>
                </pt>
                <pt idx="201">
                  <v>11.80875</v>
                </pt>
                <pt idx="202">
                  <v>11.8675</v>
                </pt>
                <pt idx="203">
                  <v>11.92625</v>
                </pt>
                <pt idx="204">
                  <v>11.985</v>
                </pt>
                <pt idx="205">
                  <v>12.04375</v>
                </pt>
                <pt idx="206">
                  <v>12.1025</v>
                </pt>
                <pt idx="207">
                  <v>12.16125</v>
                </pt>
                <pt idx="208">
                  <v>12.22</v>
                </pt>
                <pt idx="209">
                  <v>12.27875</v>
                </pt>
                <pt idx="210">
                  <v>12.3375</v>
                </pt>
                <pt idx="211">
                  <v>12.39625</v>
                </pt>
                <pt idx="212">
                  <v>12.455</v>
                </pt>
                <pt idx="213">
                  <v>12.51375</v>
                </pt>
                <pt idx="214">
                  <v>12.5725</v>
                </pt>
                <pt idx="215">
                  <v>12.63125</v>
                </pt>
                <pt idx="216">
                  <v>12.69</v>
                </pt>
                <pt idx="217">
                  <v>12.74875</v>
                </pt>
                <pt idx="218">
                  <v>12.8075</v>
                </pt>
                <pt idx="219">
                  <v>12.86625</v>
                </pt>
                <pt idx="220">
                  <v>12.925</v>
                </pt>
                <pt idx="221">
                  <v>12.98375</v>
                </pt>
                <pt idx="222">
                  <v>13.0425</v>
                </pt>
                <pt idx="223">
                  <v>13.10125</v>
                </pt>
                <pt idx="224">
                  <v>13.16</v>
                </pt>
                <pt idx="225">
                  <v>13.21875</v>
                </pt>
                <pt idx="226">
                  <v>13.2775</v>
                </pt>
                <pt idx="227">
                  <v>13.33625</v>
                </pt>
                <pt idx="228">
                  <v>13.395</v>
                </pt>
                <pt idx="229">
                  <v>13.45375</v>
                </pt>
                <pt idx="230">
                  <v>13.5125</v>
                </pt>
                <pt idx="231">
                  <v>13.57125</v>
                </pt>
                <pt idx="232">
                  <v>13.63</v>
                </pt>
                <pt idx="233">
                  <v>13.68875</v>
                </pt>
                <pt idx="234">
                  <v>13.7475</v>
                </pt>
                <pt idx="235">
                  <v>13.80625</v>
                </pt>
                <pt idx="236">
                  <v>13.865</v>
                </pt>
                <pt idx="237">
                  <v>13.92375</v>
                </pt>
                <pt idx="238">
                  <v>13.9825</v>
                </pt>
                <pt idx="239">
                  <v>14.04125</v>
                </pt>
              </numCache>
            </numRef>
          </cat>
          <val>
            <numRef>
              <f>APRV!$I$26:$I$265</f>
              <numCache>
                <formatCode>0.000</formatCode>
                <ptCount val="240"/>
                <pt idx="0">
                  <v>25</v>
                </pt>
                <pt idx="1">
                  <v>25</v>
                </pt>
                <pt idx="2">
                  <v>25</v>
                </pt>
                <pt idx="3">
                  <v>25</v>
                </pt>
                <pt idx="4">
                  <v>25</v>
                </pt>
                <pt idx="5">
                  <v>25</v>
                </pt>
                <pt idx="6">
                  <v>25</v>
                </pt>
                <pt idx="7">
                  <v>25</v>
                </pt>
                <pt idx="8">
                  <v>25</v>
                </pt>
                <pt idx="9">
                  <v>25</v>
                </pt>
                <pt idx="10">
                  <v>25</v>
                </pt>
                <pt idx="11">
                  <v>25</v>
                </pt>
                <pt idx="12">
                  <v>25</v>
                </pt>
                <pt idx="13">
                  <v>25</v>
                </pt>
                <pt idx="14">
                  <v>25</v>
                </pt>
                <pt idx="15">
                  <v>25</v>
                </pt>
                <pt idx="16">
                  <v>25</v>
                </pt>
                <pt idx="17">
                  <v>25</v>
                </pt>
                <pt idx="18">
                  <v>25</v>
                </pt>
                <pt idx="19">
                  <v>25</v>
                </pt>
                <pt idx="20">
                  <v>25</v>
                </pt>
                <pt idx="21">
                  <v>25</v>
                </pt>
                <pt idx="22">
                  <v>25</v>
                </pt>
                <pt idx="23">
                  <v>25</v>
                </pt>
                <pt idx="24">
                  <v>25</v>
                </pt>
                <pt idx="25">
                  <v>25</v>
                </pt>
                <pt idx="26">
                  <v>25</v>
                </pt>
                <pt idx="27">
                  <v>25</v>
                </pt>
                <pt idx="28">
                  <v>25</v>
                </pt>
                <pt idx="29">
                  <v>25</v>
                </pt>
                <pt idx="30">
                  <v>25</v>
                </pt>
                <pt idx="31">
                  <v>25</v>
                </pt>
                <pt idx="32">
                  <v>25</v>
                </pt>
                <pt idx="33">
                  <v>25</v>
                </pt>
                <pt idx="34">
                  <v>25</v>
                </pt>
                <pt idx="35">
                  <v>25</v>
                </pt>
                <pt idx="36">
                  <v>25</v>
                </pt>
                <pt idx="37">
                  <v>25</v>
                </pt>
                <pt idx="38">
                  <v>25</v>
                </pt>
                <pt idx="39">
                  <v>25</v>
                </pt>
                <pt idx="40">
                  <v>25</v>
                </pt>
                <pt idx="41">
                  <v>25</v>
                </pt>
                <pt idx="42">
                  <v>25</v>
                </pt>
                <pt idx="43">
                  <v>25</v>
                </pt>
                <pt idx="44">
                  <v>25</v>
                </pt>
                <pt idx="45">
                  <v>25</v>
                </pt>
                <pt idx="46">
                  <v>25</v>
                </pt>
                <pt idx="47">
                  <v>25</v>
                </pt>
                <pt idx="48">
                  <v>25</v>
                </pt>
                <pt idx="49">
                  <v>25</v>
                </pt>
                <pt idx="50">
                  <v>25</v>
                </pt>
                <pt idx="51">
                  <v>25</v>
                </pt>
                <pt idx="52">
                  <v>25</v>
                </pt>
                <pt idx="53">
                  <v>25</v>
                </pt>
                <pt idx="54">
                  <v>25</v>
                </pt>
                <pt idx="55">
                  <v>25</v>
                </pt>
                <pt idx="56">
                  <v>25</v>
                </pt>
                <pt idx="57">
                  <v>25</v>
                </pt>
                <pt idx="58">
                  <v>25</v>
                </pt>
                <pt idx="59">
                  <v>25</v>
                </pt>
                <pt idx="60">
                  <v>25</v>
                </pt>
                <pt idx="61">
                  <v>25</v>
                </pt>
                <pt idx="62">
                  <v>25</v>
                </pt>
                <pt idx="63">
                  <v>25</v>
                </pt>
                <pt idx="64">
                  <v>25</v>
                </pt>
                <pt idx="65">
                  <v>25</v>
                </pt>
                <pt idx="66">
                  <v>25</v>
                </pt>
                <pt idx="67">
                  <v>25</v>
                </pt>
                <pt idx="68">
                  <v>25</v>
                </pt>
                <pt idx="69">
                  <v>25</v>
                </pt>
                <pt idx="70">
                  <v>25</v>
                </pt>
                <pt idx="71">
                  <v>25</v>
                </pt>
                <pt idx="72">
                  <v>25</v>
                </pt>
                <pt idx="73">
                  <v>25</v>
                </pt>
                <pt idx="74">
                  <v>25</v>
                </pt>
                <pt idx="75">
                  <v>25</v>
                </pt>
                <pt idx="76">
                  <v>25</v>
                </pt>
                <pt idx="77">
                  <v>22.73432336170573</v>
                </pt>
                <pt idx="78">
                  <v>17.97309333579812</v>
                </pt>
                <pt idx="79">
                  <v>14.20900366893849</v>
                </pt>
                <pt idx="80">
                  <v>25</v>
                </pt>
                <pt idx="81">
                  <v>25</v>
                </pt>
                <pt idx="82">
                  <v>25</v>
                </pt>
                <pt idx="83">
                  <v>25</v>
                </pt>
                <pt idx="84">
                  <v>25</v>
                </pt>
                <pt idx="85">
                  <v>25</v>
                </pt>
                <pt idx="86">
                  <v>25</v>
                </pt>
                <pt idx="87">
                  <v>25</v>
                </pt>
                <pt idx="88">
                  <v>25</v>
                </pt>
                <pt idx="89">
                  <v>25</v>
                </pt>
                <pt idx="90">
                  <v>25</v>
                </pt>
                <pt idx="91">
                  <v>25</v>
                </pt>
                <pt idx="92">
                  <v>25</v>
                </pt>
                <pt idx="93">
                  <v>25</v>
                </pt>
                <pt idx="94">
                  <v>25</v>
                </pt>
                <pt idx="95">
                  <v>25</v>
                </pt>
                <pt idx="96">
                  <v>25</v>
                </pt>
                <pt idx="97">
                  <v>25</v>
                </pt>
                <pt idx="98">
                  <v>25</v>
                </pt>
                <pt idx="99">
                  <v>25</v>
                </pt>
                <pt idx="100">
                  <v>25</v>
                </pt>
                <pt idx="101">
                  <v>25</v>
                </pt>
                <pt idx="102">
                  <v>25</v>
                </pt>
                <pt idx="103">
                  <v>25</v>
                </pt>
                <pt idx="104">
                  <v>25</v>
                </pt>
                <pt idx="105">
                  <v>25</v>
                </pt>
                <pt idx="106">
                  <v>25</v>
                </pt>
                <pt idx="107">
                  <v>25</v>
                </pt>
                <pt idx="108">
                  <v>25</v>
                </pt>
                <pt idx="109">
                  <v>25</v>
                </pt>
                <pt idx="110">
                  <v>25</v>
                </pt>
                <pt idx="111">
                  <v>25</v>
                </pt>
                <pt idx="112">
                  <v>25</v>
                </pt>
                <pt idx="113">
                  <v>25</v>
                </pt>
                <pt idx="114">
                  <v>25</v>
                </pt>
                <pt idx="115">
                  <v>25</v>
                </pt>
                <pt idx="116">
                  <v>25</v>
                </pt>
                <pt idx="117">
                  <v>25</v>
                </pt>
                <pt idx="118">
                  <v>25</v>
                </pt>
                <pt idx="119">
                  <v>25</v>
                </pt>
                <pt idx="120">
                  <v>25</v>
                </pt>
                <pt idx="121">
                  <v>25</v>
                </pt>
                <pt idx="122">
                  <v>25</v>
                </pt>
                <pt idx="123">
                  <v>25</v>
                </pt>
                <pt idx="124">
                  <v>25</v>
                </pt>
                <pt idx="125">
                  <v>25</v>
                </pt>
                <pt idx="126">
                  <v>25</v>
                </pt>
                <pt idx="127">
                  <v>25</v>
                </pt>
                <pt idx="128">
                  <v>25</v>
                </pt>
                <pt idx="129">
                  <v>25</v>
                </pt>
                <pt idx="130">
                  <v>25</v>
                </pt>
                <pt idx="131">
                  <v>25</v>
                </pt>
                <pt idx="132">
                  <v>25</v>
                </pt>
                <pt idx="133">
                  <v>25</v>
                </pt>
                <pt idx="134">
                  <v>25</v>
                </pt>
                <pt idx="135">
                  <v>25</v>
                </pt>
                <pt idx="136">
                  <v>25</v>
                </pt>
                <pt idx="137">
                  <v>25</v>
                </pt>
                <pt idx="138">
                  <v>25</v>
                </pt>
                <pt idx="139">
                  <v>25</v>
                </pt>
                <pt idx="140">
                  <v>25</v>
                </pt>
                <pt idx="141">
                  <v>25</v>
                </pt>
                <pt idx="142">
                  <v>25</v>
                </pt>
                <pt idx="143">
                  <v>25</v>
                </pt>
                <pt idx="144">
                  <v>25</v>
                </pt>
                <pt idx="145">
                  <v>25</v>
                </pt>
                <pt idx="146">
                  <v>25</v>
                </pt>
                <pt idx="147">
                  <v>25</v>
                </pt>
                <pt idx="148">
                  <v>25</v>
                </pt>
                <pt idx="149">
                  <v>25</v>
                </pt>
                <pt idx="150">
                  <v>25</v>
                </pt>
                <pt idx="151">
                  <v>25</v>
                </pt>
                <pt idx="152">
                  <v>25</v>
                </pt>
                <pt idx="153">
                  <v>25</v>
                </pt>
                <pt idx="154">
                  <v>25</v>
                </pt>
                <pt idx="155">
                  <v>25</v>
                </pt>
                <pt idx="156">
                  <v>25</v>
                </pt>
                <pt idx="157">
                  <v>22.73432336170573</v>
                </pt>
                <pt idx="158">
                  <v>17.97309333579812</v>
                </pt>
                <pt idx="159">
                  <v>14.20900366893849</v>
                </pt>
                <pt idx="160">
                  <v>25</v>
                </pt>
                <pt idx="161">
                  <v>25</v>
                </pt>
                <pt idx="162">
                  <v>25</v>
                </pt>
                <pt idx="163">
                  <v>25</v>
                </pt>
                <pt idx="164">
                  <v>25</v>
                </pt>
                <pt idx="165">
                  <v>25</v>
                </pt>
                <pt idx="166">
                  <v>25</v>
                </pt>
                <pt idx="167">
                  <v>25</v>
                </pt>
                <pt idx="168">
                  <v>25</v>
                </pt>
                <pt idx="169">
                  <v>25</v>
                </pt>
                <pt idx="170">
                  <v>25</v>
                </pt>
                <pt idx="171">
                  <v>25</v>
                </pt>
                <pt idx="172">
                  <v>25</v>
                </pt>
                <pt idx="173">
                  <v>25</v>
                </pt>
                <pt idx="174">
                  <v>25</v>
                </pt>
                <pt idx="175">
                  <v>25</v>
                </pt>
                <pt idx="176">
                  <v>25</v>
                </pt>
                <pt idx="177">
                  <v>25</v>
                </pt>
                <pt idx="178">
                  <v>25</v>
                </pt>
                <pt idx="179">
                  <v>25</v>
                </pt>
                <pt idx="180">
                  <v>25</v>
                </pt>
                <pt idx="181">
                  <v>25</v>
                </pt>
                <pt idx="182">
                  <v>25</v>
                </pt>
                <pt idx="183">
                  <v>25</v>
                </pt>
                <pt idx="184">
                  <v>25</v>
                </pt>
                <pt idx="185">
                  <v>25</v>
                </pt>
                <pt idx="186">
                  <v>25</v>
                </pt>
                <pt idx="187">
                  <v>25</v>
                </pt>
                <pt idx="188">
                  <v>25</v>
                </pt>
                <pt idx="189">
                  <v>25</v>
                </pt>
                <pt idx="190">
                  <v>25</v>
                </pt>
                <pt idx="191">
                  <v>25</v>
                </pt>
                <pt idx="192">
                  <v>25</v>
                </pt>
                <pt idx="193">
                  <v>25</v>
                </pt>
                <pt idx="194">
                  <v>25</v>
                </pt>
                <pt idx="195">
                  <v>25</v>
                </pt>
                <pt idx="196">
                  <v>25</v>
                </pt>
                <pt idx="197">
                  <v>25</v>
                </pt>
                <pt idx="198">
                  <v>25</v>
                </pt>
                <pt idx="199">
                  <v>25</v>
                </pt>
                <pt idx="200">
                  <v>25</v>
                </pt>
                <pt idx="201">
                  <v>25</v>
                </pt>
                <pt idx="202">
                  <v>25</v>
                </pt>
                <pt idx="203">
                  <v>25</v>
                </pt>
                <pt idx="204">
                  <v>25</v>
                </pt>
                <pt idx="205">
                  <v>25</v>
                </pt>
                <pt idx="206">
                  <v>25</v>
                </pt>
                <pt idx="207">
                  <v>25</v>
                </pt>
                <pt idx="208">
                  <v>25</v>
                </pt>
                <pt idx="209">
                  <v>25</v>
                </pt>
                <pt idx="210">
                  <v>25</v>
                </pt>
                <pt idx="211">
                  <v>25</v>
                </pt>
                <pt idx="212">
                  <v>25</v>
                </pt>
                <pt idx="213">
                  <v>25</v>
                </pt>
                <pt idx="214">
                  <v>25</v>
                </pt>
                <pt idx="215">
                  <v>25</v>
                </pt>
                <pt idx="216">
                  <v>25</v>
                </pt>
                <pt idx="217">
                  <v>25</v>
                </pt>
                <pt idx="218">
                  <v>25</v>
                </pt>
                <pt idx="219">
                  <v>25</v>
                </pt>
                <pt idx="220">
                  <v>25</v>
                </pt>
                <pt idx="221">
                  <v>25</v>
                </pt>
                <pt idx="222">
                  <v>25</v>
                </pt>
                <pt idx="223">
                  <v>25</v>
                </pt>
                <pt idx="224">
                  <v>25</v>
                </pt>
                <pt idx="225">
                  <v>25</v>
                </pt>
                <pt idx="226">
                  <v>25</v>
                </pt>
                <pt idx="227">
                  <v>25</v>
                </pt>
                <pt idx="228">
                  <v>25</v>
                </pt>
                <pt idx="229">
                  <v>25</v>
                </pt>
                <pt idx="230">
                  <v>25</v>
                </pt>
                <pt idx="231">
                  <v>25</v>
                </pt>
                <pt idx="232">
                  <v>25</v>
                </pt>
                <pt idx="233">
                  <v>25</v>
                </pt>
                <pt idx="234">
                  <v>25</v>
                </pt>
                <pt idx="235">
                  <v>25</v>
                </pt>
                <pt idx="236">
                  <v>25</v>
                </pt>
                <pt idx="237">
                  <v>22.73432336170581</v>
                </pt>
                <pt idx="238">
                  <v>17.97309333579806</v>
                </pt>
                <pt idx="239">
                  <v>14.20900366893854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3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P-V Loop (Paw) — APRV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ED7D3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APRV!$E$26:$E$105</f>
              <numCache>
                <formatCode>0.0</formatCode>
                <ptCount val="80"/>
                <pt idx="0">
                  <v>1250</v>
                </pt>
                <pt idx="1">
                  <v>1250</v>
                </pt>
                <pt idx="2">
                  <v>1250</v>
                </pt>
                <pt idx="3">
                  <v>1250</v>
                </pt>
                <pt idx="4">
                  <v>1250</v>
                </pt>
                <pt idx="5">
                  <v>1250</v>
                </pt>
                <pt idx="6">
                  <v>1250</v>
                </pt>
                <pt idx="7">
                  <v>1250</v>
                </pt>
                <pt idx="8">
                  <v>1250</v>
                </pt>
                <pt idx="9">
                  <v>1250</v>
                </pt>
                <pt idx="10">
                  <v>1250</v>
                </pt>
                <pt idx="11">
                  <v>1250</v>
                </pt>
                <pt idx="12">
                  <v>1250</v>
                </pt>
                <pt idx="13">
                  <v>1250</v>
                </pt>
                <pt idx="14">
                  <v>1250</v>
                </pt>
                <pt idx="15">
                  <v>1250</v>
                </pt>
                <pt idx="16">
                  <v>1250</v>
                </pt>
                <pt idx="17">
                  <v>1250</v>
                </pt>
                <pt idx="18">
                  <v>1250</v>
                </pt>
                <pt idx="19">
                  <v>1250</v>
                </pt>
                <pt idx="20">
                  <v>1250</v>
                </pt>
                <pt idx="21">
                  <v>1250</v>
                </pt>
                <pt idx="22">
                  <v>1250</v>
                </pt>
                <pt idx="23">
                  <v>1250</v>
                </pt>
                <pt idx="24">
                  <v>1250</v>
                </pt>
                <pt idx="25">
                  <v>1250</v>
                </pt>
                <pt idx="26">
                  <v>1250</v>
                </pt>
                <pt idx="27">
                  <v>1250</v>
                </pt>
                <pt idx="28">
                  <v>1250</v>
                </pt>
                <pt idx="29">
                  <v>1250</v>
                </pt>
                <pt idx="30">
                  <v>1250</v>
                </pt>
                <pt idx="31">
                  <v>1250</v>
                </pt>
                <pt idx="32">
                  <v>1250</v>
                </pt>
                <pt idx="33">
                  <v>1250</v>
                </pt>
                <pt idx="34">
                  <v>1250</v>
                </pt>
                <pt idx="35">
                  <v>1250</v>
                </pt>
                <pt idx="36">
                  <v>1250</v>
                </pt>
                <pt idx="37">
                  <v>1250</v>
                </pt>
                <pt idx="38">
                  <v>1250</v>
                </pt>
                <pt idx="39">
                  <v>1250</v>
                </pt>
                <pt idx="40">
                  <v>1250</v>
                </pt>
                <pt idx="41">
                  <v>1250</v>
                </pt>
                <pt idx="42">
                  <v>1250</v>
                </pt>
                <pt idx="43">
                  <v>1250</v>
                </pt>
                <pt idx="44">
                  <v>1250</v>
                </pt>
                <pt idx="45">
                  <v>1250</v>
                </pt>
                <pt idx="46">
                  <v>1250</v>
                </pt>
                <pt idx="47">
                  <v>1250</v>
                </pt>
                <pt idx="48">
                  <v>1250</v>
                </pt>
                <pt idx="49">
                  <v>1250</v>
                </pt>
                <pt idx="50">
                  <v>1250</v>
                </pt>
                <pt idx="51">
                  <v>1250</v>
                </pt>
                <pt idx="52">
                  <v>1250</v>
                </pt>
                <pt idx="53">
                  <v>1250</v>
                </pt>
                <pt idx="54">
                  <v>1250</v>
                </pt>
                <pt idx="55">
                  <v>1250</v>
                </pt>
                <pt idx="56">
                  <v>1250</v>
                </pt>
                <pt idx="57">
                  <v>1250</v>
                </pt>
                <pt idx="58">
                  <v>1250</v>
                </pt>
                <pt idx="59">
                  <v>1250</v>
                </pt>
                <pt idx="60">
                  <v>1250</v>
                </pt>
                <pt idx="61">
                  <v>1250</v>
                </pt>
                <pt idx="62">
                  <v>1250</v>
                </pt>
                <pt idx="63">
                  <v>1250</v>
                </pt>
                <pt idx="64">
                  <v>1250</v>
                </pt>
                <pt idx="65">
                  <v>1250</v>
                </pt>
                <pt idx="66">
                  <v>1250</v>
                </pt>
                <pt idx="67">
                  <v>1250</v>
                </pt>
                <pt idx="68">
                  <v>1250</v>
                </pt>
                <pt idx="69">
                  <v>1250</v>
                </pt>
                <pt idx="70">
                  <v>1250</v>
                </pt>
                <pt idx="71">
                  <v>1250</v>
                </pt>
                <pt idx="72">
                  <v>1250</v>
                </pt>
                <pt idx="73">
                  <v>1250</v>
                </pt>
                <pt idx="74">
                  <v>1250</v>
                </pt>
                <pt idx="75">
                  <v>1250</v>
                </pt>
                <pt idx="76">
                  <v>1250</v>
                </pt>
                <pt idx="77">
                  <v>1136.716168085286</v>
                </pt>
                <pt idx="78">
                  <v>898.6546667899061</v>
                </pt>
                <pt idx="79">
                  <v>710.4501834469247</v>
                </pt>
              </numCache>
            </numRef>
          </xVal>
          <yVal>
            <numRef>
              <f>APRV!$C$26:$C$105</f>
              <numCache>
                <formatCode>0.000</formatCode>
                <ptCount val="80"/>
                <pt idx="0">
                  <v>25</v>
                </pt>
                <pt idx="1">
                  <v>25</v>
                </pt>
                <pt idx="2">
                  <v>25</v>
                </pt>
                <pt idx="3">
                  <v>25</v>
                </pt>
                <pt idx="4">
                  <v>25</v>
                </pt>
                <pt idx="5">
                  <v>25</v>
                </pt>
                <pt idx="6">
                  <v>25</v>
                </pt>
                <pt idx="7">
                  <v>25</v>
                </pt>
                <pt idx="8">
                  <v>25</v>
                </pt>
                <pt idx="9">
                  <v>25</v>
                </pt>
                <pt idx="10">
                  <v>25</v>
                </pt>
                <pt idx="11">
                  <v>25</v>
                </pt>
                <pt idx="12">
                  <v>25</v>
                </pt>
                <pt idx="13">
                  <v>25</v>
                </pt>
                <pt idx="14">
                  <v>25</v>
                </pt>
                <pt idx="15">
                  <v>25</v>
                </pt>
                <pt idx="16">
                  <v>25</v>
                </pt>
                <pt idx="17">
                  <v>25</v>
                </pt>
                <pt idx="18">
                  <v>25</v>
                </pt>
                <pt idx="19">
                  <v>25</v>
                </pt>
                <pt idx="20">
                  <v>25</v>
                </pt>
                <pt idx="21">
                  <v>25</v>
                </pt>
                <pt idx="22">
                  <v>25</v>
                </pt>
                <pt idx="23">
                  <v>25</v>
                </pt>
                <pt idx="24">
                  <v>25</v>
                </pt>
                <pt idx="25">
                  <v>25</v>
                </pt>
                <pt idx="26">
                  <v>25</v>
                </pt>
                <pt idx="27">
                  <v>25</v>
                </pt>
                <pt idx="28">
                  <v>25</v>
                </pt>
                <pt idx="29">
                  <v>25</v>
                </pt>
                <pt idx="30">
                  <v>25</v>
                </pt>
                <pt idx="31">
                  <v>25</v>
                </pt>
                <pt idx="32">
                  <v>25</v>
                </pt>
                <pt idx="33">
                  <v>25</v>
                </pt>
                <pt idx="34">
                  <v>25</v>
                </pt>
                <pt idx="35">
                  <v>25</v>
                </pt>
                <pt idx="36">
                  <v>25</v>
                </pt>
                <pt idx="37">
                  <v>25</v>
                </pt>
                <pt idx="38">
                  <v>25</v>
                </pt>
                <pt idx="39">
                  <v>25</v>
                </pt>
                <pt idx="40">
                  <v>25</v>
                </pt>
                <pt idx="41">
                  <v>25</v>
                </pt>
                <pt idx="42">
                  <v>25</v>
                </pt>
                <pt idx="43">
                  <v>25</v>
                </pt>
                <pt idx="44">
                  <v>25</v>
                </pt>
                <pt idx="45">
                  <v>25</v>
                </pt>
                <pt idx="46">
                  <v>25</v>
                </pt>
                <pt idx="47">
                  <v>25</v>
                </pt>
                <pt idx="48">
                  <v>25</v>
                </pt>
                <pt idx="49">
                  <v>25</v>
                </pt>
                <pt idx="50">
                  <v>25</v>
                </pt>
                <pt idx="51">
                  <v>25</v>
                </pt>
                <pt idx="52">
                  <v>25</v>
                </pt>
                <pt idx="53">
                  <v>25</v>
                </pt>
                <pt idx="54">
                  <v>25</v>
                </pt>
                <pt idx="55">
                  <v>25</v>
                </pt>
                <pt idx="56">
                  <v>25</v>
                </pt>
                <pt idx="57">
                  <v>25</v>
                </pt>
                <pt idx="58">
                  <v>25</v>
                </pt>
                <pt idx="59">
                  <v>25</v>
                </pt>
                <pt idx="60">
                  <v>25</v>
                </pt>
                <pt idx="61">
                  <v>25</v>
                </pt>
                <pt idx="62">
                  <v>25</v>
                </pt>
                <pt idx="63">
                  <v>25</v>
                </pt>
                <pt idx="64">
                  <v>25</v>
                </pt>
                <pt idx="65">
                  <v>25</v>
                </pt>
                <pt idx="66">
                  <v>25</v>
                </pt>
                <pt idx="67">
                  <v>25</v>
                </pt>
                <pt idx="68">
                  <v>25</v>
                </pt>
                <pt idx="69">
                  <v>25</v>
                </pt>
                <pt idx="70">
                  <v>25</v>
                </pt>
                <pt idx="71">
                  <v>25</v>
                </pt>
                <pt idx="72">
                  <v>25</v>
                </pt>
                <pt idx="73">
                  <v>25</v>
                </pt>
                <pt idx="74">
                  <v>25</v>
                </pt>
                <pt idx="75">
                  <v>25</v>
                </pt>
                <pt idx="76">
                  <v>25</v>
                </pt>
                <pt idx="77">
                  <v>0</v>
                </pt>
                <pt idx="78">
                  <v>0</v>
                </pt>
                <pt idx="79">
                  <v>0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36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P-V Loop — APRV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APRV!$E$26:$E$105</f>
              <numCache>
                <formatCode>0.0</formatCode>
                <ptCount val="80"/>
                <pt idx="0">
                  <v>1250</v>
                </pt>
                <pt idx="1">
                  <v>1250</v>
                </pt>
                <pt idx="2">
                  <v>1250</v>
                </pt>
                <pt idx="3">
                  <v>1250</v>
                </pt>
                <pt idx="4">
                  <v>1250</v>
                </pt>
                <pt idx="5">
                  <v>1250</v>
                </pt>
                <pt idx="6">
                  <v>1250</v>
                </pt>
                <pt idx="7">
                  <v>1250</v>
                </pt>
                <pt idx="8">
                  <v>1250</v>
                </pt>
                <pt idx="9">
                  <v>1250</v>
                </pt>
                <pt idx="10">
                  <v>1250</v>
                </pt>
                <pt idx="11">
                  <v>1250</v>
                </pt>
                <pt idx="12">
                  <v>1250</v>
                </pt>
                <pt idx="13">
                  <v>1250</v>
                </pt>
                <pt idx="14">
                  <v>1250</v>
                </pt>
                <pt idx="15">
                  <v>1250</v>
                </pt>
                <pt idx="16">
                  <v>1250</v>
                </pt>
                <pt idx="17">
                  <v>1250</v>
                </pt>
                <pt idx="18">
                  <v>1250</v>
                </pt>
                <pt idx="19">
                  <v>1250</v>
                </pt>
                <pt idx="20">
                  <v>1250</v>
                </pt>
                <pt idx="21">
                  <v>1250</v>
                </pt>
                <pt idx="22">
                  <v>1250</v>
                </pt>
                <pt idx="23">
                  <v>1250</v>
                </pt>
                <pt idx="24">
                  <v>1250</v>
                </pt>
                <pt idx="25">
                  <v>1250</v>
                </pt>
                <pt idx="26">
                  <v>1250</v>
                </pt>
                <pt idx="27">
                  <v>1250</v>
                </pt>
                <pt idx="28">
                  <v>1250</v>
                </pt>
                <pt idx="29">
                  <v>1250</v>
                </pt>
                <pt idx="30">
                  <v>1250</v>
                </pt>
                <pt idx="31">
                  <v>1250</v>
                </pt>
                <pt idx="32">
                  <v>1250</v>
                </pt>
                <pt idx="33">
                  <v>1250</v>
                </pt>
                <pt idx="34">
                  <v>1250</v>
                </pt>
                <pt idx="35">
                  <v>1250</v>
                </pt>
                <pt idx="36">
                  <v>1250</v>
                </pt>
                <pt idx="37">
                  <v>1250</v>
                </pt>
                <pt idx="38">
                  <v>1250</v>
                </pt>
                <pt idx="39">
                  <v>1250</v>
                </pt>
                <pt idx="40">
                  <v>1250</v>
                </pt>
                <pt idx="41">
                  <v>1250</v>
                </pt>
                <pt idx="42">
                  <v>1250</v>
                </pt>
                <pt idx="43">
                  <v>1250</v>
                </pt>
                <pt idx="44">
                  <v>1250</v>
                </pt>
                <pt idx="45">
                  <v>1250</v>
                </pt>
                <pt idx="46">
                  <v>1250</v>
                </pt>
                <pt idx="47">
                  <v>1250</v>
                </pt>
                <pt idx="48">
                  <v>1250</v>
                </pt>
                <pt idx="49">
                  <v>1250</v>
                </pt>
                <pt idx="50">
                  <v>1250</v>
                </pt>
                <pt idx="51">
                  <v>1250</v>
                </pt>
                <pt idx="52">
                  <v>1250</v>
                </pt>
                <pt idx="53">
                  <v>1250</v>
                </pt>
                <pt idx="54">
                  <v>1250</v>
                </pt>
                <pt idx="55">
                  <v>1250</v>
                </pt>
                <pt idx="56">
                  <v>1250</v>
                </pt>
                <pt idx="57">
                  <v>1250</v>
                </pt>
                <pt idx="58">
                  <v>1250</v>
                </pt>
                <pt idx="59">
                  <v>1250</v>
                </pt>
                <pt idx="60">
                  <v>1250</v>
                </pt>
                <pt idx="61">
                  <v>1250</v>
                </pt>
                <pt idx="62">
                  <v>1250</v>
                </pt>
                <pt idx="63">
                  <v>1250</v>
                </pt>
                <pt idx="64">
                  <v>1250</v>
                </pt>
                <pt idx="65">
                  <v>1250</v>
                </pt>
                <pt idx="66">
                  <v>1250</v>
                </pt>
                <pt idx="67">
                  <v>1250</v>
                </pt>
                <pt idx="68">
                  <v>1250</v>
                </pt>
                <pt idx="69">
                  <v>1250</v>
                </pt>
                <pt idx="70">
                  <v>1250</v>
                </pt>
                <pt idx="71">
                  <v>1250</v>
                </pt>
                <pt idx="72">
                  <v>1250</v>
                </pt>
                <pt idx="73">
                  <v>1250</v>
                </pt>
                <pt idx="74">
                  <v>1250</v>
                </pt>
                <pt idx="75">
                  <v>1250</v>
                </pt>
                <pt idx="76">
                  <v>1250</v>
                </pt>
                <pt idx="77">
                  <v>1136.716168085286</v>
                </pt>
                <pt idx="78">
                  <v>898.6546667899061</v>
                </pt>
                <pt idx="79">
                  <v>710.4501834469247</v>
                </pt>
              </numCache>
            </numRef>
          </xVal>
          <yVal>
            <numRef>
              <f>APRV!$H$26:$H$105</f>
              <numCache>
                <formatCode>0.000</formatCode>
                <ptCount val="80"/>
                <pt idx="0">
                  <v>18.75</v>
                </pt>
                <pt idx="1">
                  <v>20.21817957328829</v>
                </pt>
                <pt idx="2">
                  <v>21.63648661190113</v>
                </pt>
                <pt idx="3">
                  <v>22.95674269934877</v>
                </pt>
                <pt idx="4">
                  <v>24.13410010807819</v>
                </pt>
                <pt idx="5">
                  <v>25.12856523018166</v>
                </pt>
                <pt idx="6">
                  <v>25.9063571187042</v>
                </pt>
                <pt idx="7">
                  <v>26.44105499131349</v>
                </pt>
                <pt idx="8">
                  <v>26.71449571682464</v>
                </pt>
                <pt idx="9">
                  <v>26.7173907978952</v>
                </pt>
                <pt idx="10">
                  <v>26.44964189162918</v>
                </pt>
                <pt idx="11">
                  <v>25.92034415018303</v>
                </pt>
                <pt idx="12">
                  <v>25.14747726789673</v>
                </pt>
                <pt idx="13">
                  <v>24.1572947297578</v>
                </pt>
                <pt idx="14">
                  <v>22.98343200779352</v>
                </pt>
                <pt idx="15">
                  <v>21.6657639990332</v>
                </pt>
                <pt idx="16">
                  <v>20.2490505166858</v>
                </pt>
                <pt idx="17">
                  <v>18.78141584579045</v>
                </pt>
                <pt idx="18">
                  <v>18.75</v>
                </pt>
                <pt idx="19">
                  <v>18.75</v>
                </pt>
                <pt idx="20">
                  <v>18.75</v>
                </pt>
                <pt idx="21">
                  <v>18.75</v>
                </pt>
                <pt idx="22">
                  <v>18.75</v>
                </pt>
                <pt idx="23">
                  <v>18.75</v>
                </pt>
                <pt idx="24">
                  <v>18.75</v>
                </pt>
                <pt idx="25">
                  <v>18.75</v>
                </pt>
                <pt idx="26">
                  <v>18.75</v>
                </pt>
                <pt idx="27">
                  <v>18.75</v>
                </pt>
                <pt idx="28">
                  <v>18.75</v>
                </pt>
                <pt idx="29">
                  <v>18.75</v>
                </pt>
                <pt idx="30">
                  <v>18.75</v>
                </pt>
                <pt idx="31">
                  <v>18.75</v>
                </pt>
                <pt idx="32">
                  <v>18.75</v>
                </pt>
                <pt idx="33">
                  <v>18.75</v>
                </pt>
                <pt idx="34">
                  <v>18.75</v>
                </pt>
                <pt idx="35">
                  <v>18.75</v>
                </pt>
                <pt idx="36">
                  <v>18.75</v>
                </pt>
                <pt idx="37">
                  <v>18.75</v>
                </pt>
                <pt idx="38">
                  <v>18.75</v>
                </pt>
                <pt idx="39">
                  <v>18.75</v>
                </pt>
                <pt idx="40">
                  <v>18.75</v>
                </pt>
                <pt idx="41">
                  <v>18.75</v>
                </pt>
                <pt idx="42">
                  <v>18.75</v>
                </pt>
                <pt idx="43">
                  <v>18.75</v>
                </pt>
                <pt idx="44">
                  <v>18.75</v>
                </pt>
                <pt idx="45">
                  <v>18.75</v>
                </pt>
                <pt idx="46">
                  <v>18.75</v>
                </pt>
                <pt idx="47">
                  <v>18.75</v>
                </pt>
                <pt idx="48">
                  <v>18.75</v>
                </pt>
                <pt idx="49">
                  <v>18.75</v>
                </pt>
                <pt idx="50">
                  <v>18.75</v>
                </pt>
                <pt idx="51">
                  <v>18.75</v>
                </pt>
                <pt idx="52">
                  <v>18.75</v>
                </pt>
                <pt idx="53">
                  <v>18.75</v>
                </pt>
                <pt idx="54">
                  <v>18.75</v>
                </pt>
                <pt idx="55">
                  <v>18.75</v>
                </pt>
                <pt idx="56">
                  <v>18.75</v>
                </pt>
                <pt idx="57">
                  <v>18.75</v>
                </pt>
                <pt idx="58">
                  <v>18.75</v>
                </pt>
                <pt idx="59">
                  <v>18.75</v>
                </pt>
                <pt idx="60">
                  <v>18.75</v>
                </pt>
                <pt idx="61">
                  <v>18.75</v>
                </pt>
                <pt idx="62">
                  <v>18.75</v>
                </pt>
                <pt idx="63">
                  <v>18.75</v>
                </pt>
                <pt idx="64">
                  <v>18.75</v>
                </pt>
                <pt idx="65">
                  <v>18.75</v>
                </pt>
                <pt idx="66">
                  <v>18.75</v>
                </pt>
                <pt idx="67">
                  <v>18.75</v>
                </pt>
                <pt idx="68">
                  <v>18.75</v>
                </pt>
                <pt idx="69">
                  <v>18.75</v>
                </pt>
                <pt idx="70">
                  <v>18.75</v>
                </pt>
                <pt idx="71">
                  <v>18.75</v>
                </pt>
                <pt idx="72">
                  <v>18.75</v>
                </pt>
                <pt idx="73">
                  <v>18.75</v>
                </pt>
                <pt idx="74">
                  <v>18.75</v>
                </pt>
                <pt idx="75">
                  <v>18.75</v>
                </pt>
                <pt idx="76">
                  <v>18.75</v>
                </pt>
                <pt idx="77">
                  <v>-5.683580840426432</v>
                </pt>
                <pt idx="78">
                  <v>-4.49327333394953</v>
                </pt>
                <pt idx="79">
                  <v>-3.552250917234623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37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VCV — Paw P-V Loop</a:t>
            </a:r>
          </a:p>
        </rich>
      </tx>
    </title>
    <plotArea>
      <scatterChart>
        <ser>
          <idx val="0"/>
          <order val="0"/>
          <tx>
            <v>VCV — Paw P-V Loop</v>
          </tx>
          <spPr>
            <a:ln xmlns:a="http://schemas.openxmlformats.org/drawingml/2006/main" w="18000">
              <a:solidFill>
                <a:srgbClr val="2E75B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'Mech Power'!$B$52:$B$253</f>
            </numRef>
          </xVal>
          <yVal>
            <numRef>
              <f>'Mech Power'!$C$52:$C$253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(mL)</a:t>
                </a:r>
              </a:p>
            </rich>
          </tx>
        </title>
        <numFmt formatCode="0" sourceLinked="0"/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Pressure (cmH2O)</a:t>
                </a:r>
              </a:p>
            </rich>
          </tx>
        </title>
        <numFmt formatCode="0.0" sourceLinked="0"/>
        <majorTickMark val="none"/>
        <minorTickMark val="none"/>
        <crossAx val="10"/>
      </valAx>
    </plotArea>
    <plotVisOnly val="1"/>
    <dispBlanksAs val="gap"/>
  </chart>
</chartSpace>
</file>

<file path=xl/charts/chart38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VCV — PL-V Loop</a:t>
            </a:r>
          </a:p>
        </rich>
      </tx>
    </title>
    <plotArea>
      <scatterChart>
        <ser>
          <idx val="0"/>
          <order val="0"/>
          <tx>
            <v>VCV — PL-V Loop</v>
          </tx>
          <spPr>
            <a:ln xmlns:a="http://schemas.openxmlformats.org/drawingml/2006/main" w="18000">
              <a:solidFill>
                <a:srgbClr val="ED7D3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'Mech Power'!$B$52:$B$253</f>
            </numRef>
          </xVal>
          <yVal>
            <numRef>
              <f>'Mech Power'!$D$52:$D$253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(mL)</a:t>
                </a:r>
              </a:p>
            </rich>
          </tx>
        </title>
        <numFmt formatCode="0" sourceLinked="0"/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Pressure (cmH2O)</a:t>
                </a:r>
              </a:p>
            </rich>
          </tx>
        </title>
        <numFmt formatCode="0.0" sourceLinked="0"/>
        <majorTickMark val="none"/>
        <minorTickMark val="none"/>
        <crossAx val="10"/>
      </valAx>
    </plotArea>
    <plotVisOnly val="1"/>
    <dispBlanksAs val="gap"/>
  </chart>
</chartSpace>
</file>

<file path=xl/charts/chart39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PCV — Paw P-V Loop</a:t>
            </a:r>
          </a:p>
        </rich>
      </tx>
    </title>
    <plotArea>
      <scatterChart>
        <ser>
          <idx val="0"/>
          <order val="0"/>
          <tx>
            <v>PCV — Paw P-V Loop</v>
          </tx>
          <spPr>
            <a:ln xmlns:a="http://schemas.openxmlformats.org/drawingml/2006/main" w="18000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'Mech Power'!$G$52:$G$253</f>
            </numRef>
          </xVal>
          <yVal>
            <numRef>
              <f>'Mech Power'!$H$52:$H$253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(mL)</a:t>
                </a:r>
              </a:p>
            </rich>
          </tx>
        </title>
        <numFmt formatCode="0" sourceLinked="0"/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Pressure (cmH2O)</a:t>
                </a:r>
              </a:p>
            </rich>
          </tx>
        </title>
        <numFmt formatCode="0.0" sourceLinked="0"/>
        <majorTickMark val="none"/>
        <minorTickMark val="none"/>
        <crossAx val="10"/>
      </valAx>
    </plotArea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Muscle Pressure (Pmus)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VCV!$F$30</f>
              <strCache>
                <ptCount val="1"/>
                <pt idx="0">
                  <v>Pmus (cmH2O)</v>
                </pt>
              </strCache>
            </strRef>
          </tx>
          <spPr>
            <a:ln xmlns:a="http://schemas.openxmlformats.org/drawingml/2006/main" w="22000">
              <a:solidFill>
                <a:srgbClr val="C0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VCV!$F$31:$F$270</f>
              <numCache>
                <formatCode>0.000</formatCode>
                <ptCount val="240"/>
                <pt idx="0">
                  <v>0</v>
                </pt>
                <pt idx="1">
                  <v>0</v>
                </pt>
                <pt idx="2">
                  <v>0</v>
                </pt>
                <pt idx="3">
                  <v>0</v>
                </pt>
                <pt idx="4">
                  <v>0</v>
                </pt>
                <pt idx="5">
                  <v>0</v>
                </pt>
                <pt idx="6">
                  <v>0</v>
                </pt>
                <pt idx="7">
                  <v>0</v>
                </pt>
                <pt idx="8">
                  <v>0</v>
                </pt>
                <pt idx="9">
                  <v>0</v>
                </pt>
                <pt idx="10">
                  <v>0</v>
                </pt>
                <pt idx="11">
                  <v>0</v>
                </pt>
                <pt idx="12">
                  <v>0</v>
                </pt>
                <pt idx="13">
                  <v>0</v>
                </pt>
                <pt idx="14">
                  <v>0</v>
                </pt>
                <pt idx="15">
                  <v>0</v>
                </pt>
                <pt idx="16">
                  <v>0</v>
                </pt>
                <pt idx="17">
                  <v>0</v>
                </pt>
                <pt idx="18">
                  <v>0</v>
                </pt>
                <pt idx="19">
                  <v>0</v>
                </pt>
                <pt idx="20">
                  <v>0</v>
                </pt>
                <pt idx="21">
                  <v>0</v>
                </pt>
                <pt idx="22">
                  <v>0</v>
                </pt>
                <pt idx="23">
                  <v>0</v>
                </pt>
                <pt idx="24">
                  <v>0</v>
                </pt>
                <pt idx="25">
                  <v>0</v>
                </pt>
                <pt idx="26">
                  <v>0</v>
                </pt>
                <pt idx="27">
                  <v>0</v>
                </pt>
                <pt idx="28">
                  <v>0</v>
                </pt>
                <pt idx="29">
                  <v>0</v>
                </pt>
                <pt idx="30">
                  <v>0</v>
                </pt>
                <pt idx="31">
                  <v>0</v>
                </pt>
                <pt idx="32">
                  <v>0</v>
                </pt>
                <pt idx="33">
                  <v>0</v>
                </pt>
                <pt idx="34">
                  <v>0</v>
                </pt>
                <pt idx="35">
                  <v>0</v>
                </pt>
                <pt idx="36">
                  <v>0</v>
                </pt>
                <pt idx="37">
                  <v>0</v>
                </pt>
                <pt idx="38">
                  <v>0</v>
                </pt>
                <pt idx="39">
                  <v>0</v>
                </pt>
                <pt idx="40">
                  <v>0</v>
                </pt>
                <pt idx="41">
                  <v>0</v>
                </pt>
                <pt idx="42">
                  <v>0</v>
                </pt>
                <pt idx="43">
                  <v>0</v>
                </pt>
                <pt idx="44">
                  <v>0</v>
                </pt>
                <pt idx="45">
                  <v>0</v>
                </pt>
                <pt idx="46">
                  <v>0</v>
                </pt>
                <pt idx="47">
                  <v>0</v>
                </pt>
                <pt idx="48">
                  <v>0</v>
                </pt>
                <pt idx="49">
                  <v>0</v>
                </pt>
                <pt idx="50">
                  <v>0</v>
                </pt>
                <pt idx="51">
                  <v>0</v>
                </pt>
                <pt idx="52">
                  <v>0</v>
                </pt>
                <pt idx="53">
                  <v>0</v>
                </pt>
                <pt idx="54">
                  <v>0</v>
                </pt>
                <pt idx="55">
                  <v>0</v>
                </pt>
                <pt idx="56">
                  <v>0</v>
                </pt>
                <pt idx="57">
                  <v>0</v>
                </pt>
                <pt idx="58">
                  <v>0</v>
                </pt>
                <pt idx="59">
                  <v>0</v>
                </pt>
                <pt idx="60">
                  <v>0</v>
                </pt>
                <pt idx="61">
                  <v>0</v>
                </pt>
                <pt idx="62">
                  <v>0</v>
                </pt>
                <pt idx="63">
                  <v>0</v>
                </pt>
                <pt idx="64">
                  <v>0</v>
                </pt>
                <pt idx="65">
                  <v>0</v>
                </pt>
                <pt idx="66">
                  <v>0</v>
                </pt>
                <pt idx="67">
                  <v>0</v>
                </pt>
                <pt idx="68">
                  <v>0</v>
                </pt>
                <pt idx="69">
                  <v>0</v>
                </pt>
                <pt idx="70">
                  <v>0</v>
                </pt>
                <pt idx="71">
                  <v>0</v>
                </pt>
                <pt idx="72">
                  <v>0</v>
                </pt>
                <pt idx="73">
                  <v>0</v>
                </pt>
                <pt idx="74">
                  <v>0</v>
                </pt>
                <pt idx="75">
                  <v>0</v>
                </pt>
                <pt idx="76">
                  <v>0</v>
                </pt>
                <pt idx="77">
                  <v>0</v>
                </pt>
                <pt idx="78">
                  <v>0</v>
                </pt>
                <pt idx="79">
                  <v>0</v>
                </pt>
                <pt idx="80">
                  <v>0</v>
                </pt>
                <pt idx="81">
                  <v>0</v>
                </pt>
                <pt idx="82">
                  <v>0</v>
                </pt>
                <pt idx="83">
                  <v>0</v>
                </pt>
                <pt idx="84">
                  <v>0</v>
                </pt>
                <pt idx="85">
                  <v>0</v>
                </pt>
                <pt idx="86">
                  <v>0</v>
                </pt>
                <pt idx="87">
                  <v>0</v>
                </pt>
                <pt idx="88">
                  <v>0</v>
                </pt>
                <pt idx="89">
                  <v>0</v>
                </pt>
                <pt idx="90">
                  <v>0</v>
                </pt>
                <pt idx="91">
                  <v>0</v>
                </pt>
                <pt idx="92">
                  <v>0</v>
                </pt>
                <pt idx="93">
                  <v>0</v>
                </pt>
                <pt idx="94">
                  <v>0</v>
                </pt>
                <pt idx="95">
                  <v>0</v>
                </pt>
                <pt idx="96">
                  <v>0</v>
                </pt>
                <pt idx="97">
                  <v>0</v>
                </pt>
                <pt idx="98">
                  <v>0</v>
                </pt>
                <pt idx="99">
                  <v>0</v>
                </pt>
                <pt idx="100">
                  <v>0</v>
                </pt>
                <pt idx="101">
                  <v>0</v>
                </pt>
                <pt idx="102">
                  <v>0</v>
                </pt>
                <pt idx="103">
                  <v>0</v>
                </pt>
                <pt idx="104">
                  <v>0</v>
                </pt>
                <pt idx="105">
                  <v>0</v>
                </pt>
                <pt idx="106">
                  <v>0</v>
                </pt>
                <pt idx="107">
                  <v>0</v>
                </pt>
                <pt idx="108">
                  <v>0</v>
                </pt>
                <pt idx="109">
                  <v>0</v>
                </pt>
                <pt idx="110">
                  <v>0</v>
                </pt>
                <pt idx="111">
                  <v>0</v>
                </pt>
                <pt idx="112">
                  <v>0</v>
                </pt>
                <pt idx="113">
                  <v>0</v>
                </pt>
                <pt idx="114">
                  <v>0</v>
                </pt>
                <pt idx="115">
                  <v>0</v>
                </pt>
                <pt idx="116">
                  <v>0</v>
                </pt>
                <pt idx="117">
                  <v>0</v>
                </pt>
                <pt idx="118">
                  <v>0</v>
                </pt>
                <pt idx="119">
                  <v>0</v>
                </pt>
                <pt idx="120">
                  <v>0</v>
                </pt>
                <pt idx="121">
                  <v>0</v>
                </pt>
                <pt idx="122">
                  <v>0</v>
                </pt>
                <pt idx="123">
                  <v>0</v>
                </pt>
                <pt idx="124">
                  <v>0</v>
                </pt>
                <pt idx="125">
                  <v>0</v>
                </pt>
                <pt idx="126">
                  <v>0</v>
                </pt>
                <pt idx="127">
                  <v>0</v>
                </pt>
                <pt idx="128">
                  <v>0</v>
                </pt>
                <pt idx="129">
                  <v>0</v>
                </pt>
                <pt idx="130">
                  <v>0</v>
                </pt>
                <pt idx="131">
                  <v>0</v>
                </pt>
                <pt idx="132">
                  <v>0</v>
                </pt>
                <pt idx="133">
                  <v>0</v>
                </pt>
                <pt idx="134">
                  <v>0</v>
                </pt>
                <pt idx="135">
                  <v>0</v>
                </pt>
                <pt idx="136">
                  <v>0</v>
                </pt>
                <pt idx="137">
                  <v>0</v>
                </pt>
                <pt idx="138">
                  <v>0</v>
                </pt>
                <pt idx="139">
                  <v>0</v>
                </pt>
                <pt idx="140">
                  <v>0</v>
                </pt>
                <pt idx="141">
                  <v>0</v>
                </pt>
                <pt idx="142">
                  <v>0</v>
                </pt>
                <pt idx="143">
                  <v>0</v>
                </pt>
                <pt idx="144">
                  <v>0</v>
                </pt>
                <pt idx="145">
                  <v>0</v>
                </pt>
                <pt idx="146">
                  <v>0</v>
                </pt>
                <pt idx="147">
                  <v>0</v>
                </pt>
                <pt idx="148">
                  <v>0</v>
                </pt>
                <pt idx="149">
                  <v>0</v>
                </pt>
                <pt idx="150">
                  <v>0</v>
                </pt>
                <pt idx="151">
                  <v>0</v>
                </pt>
                <pt idx="152">
                  <v>0</v>
                </pt>
                <pt idx="153">
                  <v>0</v>
                </pt>
                <pt idx="154">
                  <v>0</v>
                </pt>
                <pt idx="155">
                  <v>0</v>
                </pt>
                <pt idx="156">
                  <v>0</v>
                </pt>
                <pt idx="157">
                  <v>0</v>
                </pt>
                <pt idx="158">
                  <v>0</v>
                </pt>
                <pt idx="159">
                  <v>0</v>
                </pt>
                <pt idx="160">
                  <v>0</v>
                </pt>
                <pt idx="161">
                  <v>0</v>
                </pt>
                <pt idx="162">
                  <v>0</v>
                </pt>
                <pt idx="163">
                  <v>0</v>
                </pt>
                <pt idx="164">
                  <v>0</v>
                </pt>
                <pt idx="165">
                  <v>0</v>
                </pt>
                <pt idx="166">
                  <v>0</v>
                </pt>
                <pt idx="167">
                  <v>0</v>
                </pt>
                <pt idx="168">
                  <v>0</v>
                </pt>
                <pt idx="169">
                  <v>0</v>
                </pt>
                <pt idx="170">
                  <v>0</v>
                </pt>
                <pt idx="171">
                  <v>0</v>
                </pt>
                <pt idx="172">
                  <v>0</v>
                </pt>
                <pt idx="173">
                  <v>0</v>
                </pt>
                <pt idx="174">
                  <v>0</v>
                </pt>
                <pt idx="175">
                  <v>0</v>
                </pt>
                <pt idx="176">
                  <v>0</v>
                </pt>
                <pt idx="177">
                  <v>0</v>
                </pt>
                <pt idx="178">
                  <v>0</v>
                </pt>
                <pt idx="179">
                  <v>0</v>
                </pt>
                <pt idx="180">
                  <v>0</v>
                </pt>
                <pt idx="181">
                  <v>0</v>
                </pt>
                <pt idx="182">
                  <v>0</v>
                </pt>
                <pt idx="183">
                  <v>0</v>
                </pt>
                <pt idx="184">
                  <v>0</v>
                </pt>
                <pt idx="185">
                  <v>0</v>
                </pt>
                <pt idx="186">
                  <v>0</v>
                </pt>
                <pt idx="187">
                  <v>0</v>
                </pt>
                <pt idx="188">
                  <v>0</v>
                </pt>
                <pt idx="189">
                  <v>0</v>
                </pt>
                <pt idx="190">
                  <v>0</v>
                </pt>
                <pt idx="191">
                  <v>0</v>
                </pt>
                <pt idx="192">
                  <v>0</v>
                </pt>
                <pt idx="193">
                  <v>0</v>
                </pt>
                <pt idx="194">
                  <v>0</v>
                </pt>
                <pt idx="195">
                  <v>0</v>
                </pt>
                <pt idx="196">
                  <v>0</v>
                </pt>
                <pt idx="197">
                  <v>0</v>
                </pt>
                <pt idx="198">
                  <v>0</v>
                </pt>
                <pt idx="199">
                  <v>0</v>
                </pt>
                <pt idx="200">
                  <v>0</v>
                </pt>
                <pt idx="201">
                  <v>0</v>
                </pt>
                <pt idx="202">
                  <v>0</v>
                </pt>
                <pt idx="203">
                  <v>0</v>
                </pt>
                <pt idx="204">
                  <v>0</v>
                </pt>
                <pt idx="205">
                  <v>0</v>
                </pt>
                <pt idx="206">
                  <v>0</v>
                </pt>
                <pt idx="207">
                  <v>0</v>
                </pt>
                <pt idx="208">
                  <v>0</v>
                </pt>
                <pt idx="209">
                  <v>0</v>
                </pt>
                <pt idx="210">
                  <v>0</v>
                </pt>
                <pt idx="211">
                  <v>0</v>
                </pt>
                <pt idx="212">
                  <v>0</v>
                </pt>
                <pt idx="213">
                  <v>0</v>
                </pt>
                <pt idx="214">
                  <v>0</v>
                </pt>
                <pt idx="215">
                  <v>0</v>
                </pt>
                <pt idx="216">
                  <v>0</v>
                </pt>
                <pt idx="217">
                  <v>0</v>
                </pt>
                <pt idx="218">
                  <v>0</v>
                </pt>
                <pt idx="219">
                  <v>0</v>
                </pt>
                <pt idx="220">
                  <v>0</v>
                </pt>
                <pt idx="221">
                  <v>0</v>
                </pt>
                <pt idx="222">
                  <v>0</v>
                </pt>
                <pt idx="223">
                  <v>0</v>
                </pt>
                <pt idx="224">
                  <v>0</v>
                </pt>
                <pt idx="225">
                  <v>0</v>
                </pt>
                <pt idx="226">
                  <v>0</v>
                </pt>
                <pt idx="227">
                  <v>0</v>
                </pt>
                <pt idx="228">
                  <v>0</v>
                </pt>
                <pt idx="229">
                  <v>0</v>
                </pt>
                <pt idx="230">
                  <v>0</v>
                </pt>
                <pt idx="231">
                  <v>0</v>
                </pt>
                <pt idx="232">
                  <v>0</v>
                </pt>
                <pt idx="233">
                  <v>0</v>
                </pt>
                <pt idx="234">
                  <v>0</v>
                </pt>
                <pt idx="235">
                  <v>0</v>
                </pt>
                <pt idx="236">
                  <v>0</v>
                </pt>
                <pt idx="237">
                  <v>0</v>
                </pt>
                <pt idx="238">
                  <v>0</v>
                </pt>
                <pt idx="239">
                  <v>0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40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PCV — PL-V Loop</a:t>
            </a:r>
          </a:p>
        </rich>
      </tx>
    </title>
    <plotArea>
      <scatterChart>
        <ser>
          <idx val="0"/>
          <order val="0"/>
          <tx>
            <v>PCV — PL-V Loop</v>
          </tx>
          <spPr>
            <a:ln xmlns:a="http://schemas.openxmlformats.org/drawingml/2006/main" w="18000">
              <a:solidFill>
                <a:srgbClr val="FF000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'Mech Power'!$G$52:$G$253</f>
            </numRef>
          </xVal>
          <yVal>
            <numRef>
              <f>'Mech Power'!$I$52:$I$253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Volume (mL)</a:t>
                </a:r>
              </a:p>
            </rich>
          </tx>
        </title>
        <numFmt formatCode="0" sourceLinked="0"/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Pressure (cmH2O)</a:t>
                </a:r>
              </a:p>
            </rich>
          </tx>
        </title>
        <numFmt formatCode="0.0" sourceLinked="0"/>
        <majorTickMark val="none"/>
        <minorTickMark val="none"/>
        <crossAx val="10"/>
      </valAx>
    </plotArea>
    <plotVisOnly val="1"/>
    <dispBlanksAs val="gap"/>
  </chart>
</chartSpace>
</file>

<file path=xl/charts/chart5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Esophageal Pressure (Pes)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VCV!$G$30</f>
              <strCache>
                <ptCount val="1"/>
                <pt idx="0">
                  <v>Pes (cmH2O)</v>
                </pt>
              </strCache>
            </strRef>
          </tx>
          <spPr>
            <a:ln xmlns:a="http://schemas.openxmlformats.org/drawingml/2006/main" w="22000">
              <a:solidFill>
                <a:srgbClr val="843C0C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VCV!$G$31:$G$270</f>
              <numCache>
                <formatCode>0.000</formatCode>
                <ptCount val="240"/>
                <pt idx="0">
                  <v>4</v>
                </pt>
                <pt idx="1">
                  <v>4.125</v>
                </pt>
                <pt idx="2">
                  <v>4.25</v>
                </pt>
                <pt idx="3">
                  <v>4.375</v>
                </pt>
                <pt idx="4">
                  <v>4.5</v>
                </pt>
                <pt idx="5">
                  <v>4.625</v>
                </pt>
                <pt idx="6">
                  <v>4.75</v>
                </pt>
                <pt idx="7">
                  <v>4.875</v>
                </pt>
                <pt idx="8">
                  <v>5</v>
                </pt>
                <pt idx="9">
                  <v>5.125</v>
                </pt>
                <pt idx="10">
                  <v>5.25</v>
                </pt>
                <pt idx="11">
                  <v>5.375</v>
                </pt>
                <pt idx="12">
                  <v>5.5</v>
                </pt>
                <pt idx="13">
                  <v>5.625</v>
                </pt>
                <pt idx="14">
                  <v>5.75</v>
                </pt>
                <pt idx="15">
                  <v>5.875</v>
                </pt>
                <pt idx="16">
                  <v>6</v>
                </pt>
                <pt idx="17">
                  <v>6.125</v>
                </pt>
                <pt idx="18">
                  <v>6.25</v>
                </pt>
                <pt idx="19">
                  <v>6.375</v>
                </pt>
                <pt idx="20">
                  <v>6.5</v>
                </pt>
                <pt idx="21">
                  <v>6.625</v>
                </pt>
                <pt idx="22">
                  <v>6.75</v>
                </pt>
                <pt idx="23">
                  <v>6.875</v>
                </pt>
                <pt idx="24">
                  <v>7</v>
                </pt>
                <pt idx="25">
                  <v>7.125</v>
                </pt>
                <pt idx="26">
                  <v>7.25</v>
                </pt>
                <pt idx="27">
                  <v>7.767058134336994</v>
                </pt>
                <pt idx="28">
                  <v>7.408575155864846</v>
                </pt>
                <pt idx="29">
                  <v>7.084206343214266</v>
                </pt>
                <pt idx="30">
                  <v>6.790705304284124</v>
                </pt>
                <pt idx="31">
                  <v>6.525134582027704</v>
                </pt>
                <pt idx="32">
                  <v>6.284836255395259</v>
                </pt>
                <pt idx="33">
                  <v>6.067405337966798</v>
                </pt>
                <pt idx="34">
                  <v>5.870665708039637</v>
                </pt>
                <pt idx="35">
                  <v>5.692648329270996</v>
                </pt>
                <pt idx="36">
                  <v>5.531571543900449</v>
                </pt>
                <pt idx="37">
                  <v>5.38582324132023</v>
                </pt>
                <pt idx="38">
                  <v>5.253944723530422</v>
                </pt>
                <pt idx="39">
                  <v>5.134616105999082</v>
                </pt>
                <pt idx="40">
                  <v>5.026643107814223</v>
                </pt>
                <pt idx="41">
                  <v>4.928945098919035</v>
                </pt>
                <pt idx="42">
                  <v>4.840544284803059</v>
                </pt>
                <pt idx="43">
                  <v>4.760555920406082</v>
                </pt>
                <pt idx="44">
                  <v>4.688179455292202</v>
                </pt>
                <pt idx="45">
                  <v>4.62269052147199</v>
                </pt>
                <pt idx="46">
                  <v>4.56343368368418</v>
                </pt>
                <pt idx="47">
                  <v>4.509815879579283</v>
                </pt>
                <pt idx="48">
                  <v>4.46130048415225</v>
                </pt>
                <pt idx="49">
                  <v>4.41740193901906</v>
                </pt>
                <pt idx="50">
                  <v>4.377680892785209</v>
                </pt>
                <pt idx="51">
                  <v>4.341739803869285</v>
                </pt>
                <pt idx="52">
                  <v>4.309218961773199</v>
                </pt>
                <pt idx="53">
                  <v>4.279792886978622</v>
                </pt>
                <pt idx="54">
                  <v>4.253167073438563</v>
                </pt>
                <pt idx="55">
                  <v>4.229075041061869</v>
                </pt>
                <pt idx="56">
                  <v>4.207275668690904</v>
                </pt>
                <pt idx="57">
                  <v>4.187550780879954</v>
                </pt>
                <pt idx="58">
                  <v>4.169702964322045</v>
                </pt>
                <pt idx="59">
                  <v>4.153553592070208</v>
                </pt>
                <pt idx="60">
                  <v>4.138941035778954</v>
                </pt>
                <pt idx="61">
                  <v>4.125719048073471</v>
                </pt>
                <pt idx="62">
                  <v>4.113755298856738</v>
                </pt>
                <pt idx="63">
                  <v>4.10293005090544</v>
                </pt>
                <pt idx="64">
                  <v>4.093134961499588</v>
                </pt>
                <pt idx="65">
                  <v>4.084271998092166</v>
                </pt>
                <pt idx="66">
                  <v>4.076252457166446</v>
                </pt>
                <pt idx="67">
                  <v>4.068996076461385</v>
                </pt>
                <pt idx="68">
                  <v>4.062430231679931</v>
                </pt>
                <pt idx="69">
                  <v>4.056489209640656</v>
                </pt>
                <pt idx="70">
                  <v>4.051113550598143</v>
                </pt>
                <pt idx="71">
                  <v>4.046249453149874</v>
                </pt>
                <pt idx="72">
                  <v>4.041848235773707</v>
                </pt>
                <pt idx="73">
                  <v>4.037865849606841</v>
                </pt>
                <pt idx="74">
                  <v>4.034262437589992</v>
                </pt>
                <pt idx="75">
                  <v>4.031001935564547</v>
                </pt>
                <pt idx="76">
                  <v>4.028051711330342</v>
                </pt>
                <pt idx="77">
                  <v>4.025382238051637</v>
                </pt>
                <pt idx="78">
                  <v>4.022966798742617</v>
                </pt>
                <pt idx="79">
                  <v>4.020781218874821</v>
                </pt>
                <pt idx="80">
                  <v>4</v>
                </pt>
                <pt idx="81">
                  <v>4.125</v>
                </pt>
                <pt idx="82">
                  <v>4.249999999999999</v>
                </pt>
                <pt idx="83">
                  <v>4.375000000000001</v>
                </pt>
                <pt idx="84">
                  <v>4.5</v>
                </pt>
                <pt idx="85">
                  <v>4.625</v>
                </pt>
                <pt idx="86">
                  <v>4.75</v>
                </pt>
                <pt idx="87">
                  <v>4.874999999999999</v>
                </pt>
                <pt idx="88">
                  <v>5.000000000000001</v>
                </pt>
                <pt idx="89">
                  <v>5.125</v>
                </pt>
                <pt idx="90">
                  <v>5.25</v>
                </pt>
                <pt idx="91">
                  <v>5.375</v>
                </pt>
                <pt idx="92">
                  <v>5.499999999999999</v>
                </pt>
                <pt idx="93">
                  <v>5.625000000000001</v>
                </pt>
                <pt idx="94">
                  <v>5.75</v>
                </pt>
                <pt idx="95">
                  <v>5.875</v>
                </pt>
                <pt idx="96">
                  <v>6</v>
                </pt>
                <pt idx="97">
                  <v>6.124999999999999</v>
                </pt>
                <pt idx="98">
                  <v>6.250000000000001</v>
                </pt>
                <pt idx="99">
                  <v>6.375</v>
                </pt>
                <pt idx="100">
                  <v>6.5</v>
                </pt>
                <pt idx="101">
                  <v>6.625</v>
                </pt>
                <pt idx="102">
                  <v>6.749999999999999</v>
                </pt>
                <pt idx="103">
                  <v>6.875000000000001</v>
                </pt>
                <pt idx="104">
                  <v>7</v>
                </pt>
                <pt idx="105">
                  <v>7.125</v>
                </pt>
                <pt idx="106">
                  <v>7.25</v>
                </pt>
                <pt idx="107">
                  <v>7.767058134336998</v>
                </pt>
                <pt idx="108">
                  <v>7.408575155864844</v>
                </pt>
                <pt idx="109">
                  <v>7.084206343214264</v>
                </pt>
                <pt idx="110">
                  <v>6.790705304284124</v>
                </pt>
                <pt idx="111">
                  <v>6.525134582027706</v>
                </pt>
                <pt idx="112">
                  <v>6.284836255395261</v>
                </pt>
                <pt idx="113">
                  <v>6.067405337966796</v>
                </pt>
                <pt idx="114">
                  <v>5.870665708039636</v>
                </pt>
                <pt idx="115">
                  <v>5.692648329270996</v>
                </pt>
                <pt idx="116">
                  <v>5.531571543900449</v>
                </pt>
                <pt idx="117">
                  <v>5.385823241320231</v>
                </pt>
                <pt idx="118">
                  <v>5.25394472353042</v>
                </pt>
                <pt idx="119">
                  <v>5.134616105999081</v>
                </pt>
                <pt idx="120">
                  <v>5.026643107814223</v>
                </pt>
                <pt idx="121">
                  <v>4.928945098919035</v>
                </pt>
                <pt idx="122">
                  <v>4.84054428480306</v>
                </pt>
                <pt idx="123">
                  <v>4.760555920406082</v>
                </pt>
                <pt idx="124">
                  <v>4.688179455292202</v>
                </pt>
                <pt idx="125">
                  <v>4.62269052147199</v>
                </pt>
                <pt idx="126">
                  <v>4.56343368368418</v>
                </pt>
                <pt idx="127">
                  <v>4.509815879579284</v>
                </pt>
                <pt idx="128">
                  <v>4.461300484152249</v>
                </pt>
                <pt idx="129">
                  <v>4.41740193901906</v>
                </pt>
                <pt idx="130">
                  <v>4.377680892785209</v>
                </pt>
                <pt idx="131">
                  <v>4.341739803869285</v>
                </pt>
                <pt idx="132">
                  <v>4.309218961773199</v>
                </pt>
                <pt idx="133">
                  <v>4.279792886978622</v>
                </pt>
                <pt idx="134">
                  <v>4.253167073438563</v>
                </pt>
                <pt idx="135">
                  <v>4.229075041061869</v>
                </pt>
                <pt idx="136">
                  <v>4.207275668690904</v>
                </pt>
                <pt idx="137">
                  <v>4.187550780879954</v>
                </pt>
                <pt idx="138">
                  <v>4.169702964322045</v>
                </pt>
                <pt idx="139">
                  <v>4.153553592070208</v>
                </pt>
                <pt idx="140">
                  <v>4.138941035778954</v>
                </pt>
                <pt idx="141">
                  <v>4.125719048073471</v>
                </pt>
                <pt idx="142">
                  <v>4.113755298856738</v>
                </pt>
                <pt idx="143">
                  <v>4.10293005090544</v>
                </pt>
                <pt idx="144">
                  <v>4.093134961499588</v>
                </pt>
                <pt idx="145">
                  <v>4.084271998092166</v>
                </pt>
                <pt idx="146">
                  <v>4.076252457166446</v>
                </pt>
                <pt idx="147">
                  <v>4.068996076461385</v>
                </pt>
                <pt idx="148">
                  <v>4.062430231679931</v>
                </pt>
                <pt idx="149">
                  <v>4.056489209640656</v>
                </pt>
                <pt idx="150">
                  <v>4.051113550598143</v>
                </pt>
                <pt idx="151">
                  <v>4.046249453149874</v>
                </pt>
                <pt idx="152">
                  <v>4.041848235773707</v>
                </pt>
                <pt idx="153">
                  <v>4.037865849606841</v>
                </pt>
                <pt idx="154">
                  <v>4.034262437589992</v>
                </pt>
                <pt idx="155">
                  <v>4.031001935564547</v>
                </pt>
                <pt idx="156">
                  <v>4.028051711330342</v>
                </pt>
                <pt idx="157">
                  <v>4.025382238051637</v>
                </pt>
                <pt idx="158">
                  <v>4.022966798742617</v>
                </pt>
                <pt idx="159">
                  <v>4.020781218874821</v>
                </pt>
                <pt idx="160">
                  <v>4</v>
                </pt>
                <pt idx="161">
                  <v>4.125000000000002</v>
                </pt>
                <pt idx="162">
                  <v>4.249999999999999</v>
                </pt>
                <pt idx="163">
                  <v>4.375000000000001</v>
                </pt>
                <pt idx="164">
                  <v>4.499999999999998</v>
                </pt>
                <pt idx="165">
                  <v>4.625</v>
                </pt>
                <pt idx="166">
                  <v>4.750000000000002</v>
                </pt>
                <pt idx="167">
                  <v>4.874999999999999</v>
                </pt>
                <pt idx="168">
                  <v>5.000000000000001</v>
                </pt>
                <pt idx="169">
                  <v>5.124999999999998</v>
                </pt>
                <pt idx="170">
                  <v>5.25</v>
                </pt>
                <pt idx="171">
                  <v>5.375000000000002</v>
                </pt>
                <pt idx="172">
                  <v>5.499999999999999</v>
                </pt>
                <pt idx="173">
                  <v>5.625000000000001</v>
                </pt>
                <pt idx="174">
                  <v>5.749999999999998</v>
                </pt>
                <pt idx="175">
                  <v>5.875</v>
                </pt>
                <pt idx="176">
                  <v>6.000000000000002</v>
                </pt>
                <pt idx="177">
                  <v>6.124999999999999</v>
                </pt>
                <pt idx="178">
                  <v>6.250000000000001</v>
                </pt>
                <pt idx="179">
                  <v>6.374999999999998</v>
                </pt>
                <pt idx="180">
                  <v>6.5</v>
                </pt>
                <pt idx="181">
                  <v>6.625000000000002</v>
                </pt>
                <pt idx="182">
                  <v>6.749999999999999</v>
                </pt>
                <pt idx="183">
                  <v>6.875000000000001</v>
                </pt>
                <pt idx="184">
                  <v>6.999999999999998</v>
                </pt>
                <pt idx="185">
                  <v>7.125</v>
                </pt>
                <pt idx="186">
                  <v>7.250000000000002</v>
                </pt>
                <pt idx="187">
                  <v>7.767058134336998</v>
                </pt>
                <pt idx="188">
                  <v>7.408575155864844</v>
                </pt>
                <pt idx="189">
                  <v>7.084206343214269</v>
                </pt>
                <pt idx="190">
                  <v>6.790705304284124</v>
                </pt>
                <pt idx="191">
                  <v>6.5251345820277</v>
                </pt>
                <pt idx="192">
                  <v>6.284836255395261</v>
                </pt>
                <pt idx="193">
                  <v>6.067405337966796</v>
                </pt>
                <pt idx="194">
                  <v>5.87066570803964</v>
                </pt>
                <pt idx="195">
                  <v>5.692648329270996</v>
                </pt>
                <pt idx="196">
                  <v>5.531571543900446</v>
                </pt>
                <pt idx="197">
                  <v>5.385823241320231</v>
                </pt>
                <pt idx="198">
                  <v>5.25394472353042</v>
                </pt>
                <pt idx="199">
                  <v>5.134616105999084</v>
                </pt>
                <pt idx="200">
                  <v>5.026643107814223</v>
                </pt>
                <pt idx="201">
                  <v>4.928945098919034</v>
                </pt>
                <pt idx="202">
                  <v>4.84054428480306</v>
                </pt>
                <pt idx="203">
                  <v>4.760555920406082</v>
                </pt>
                <pt idx="204">
                  <v>4.688179455292203</v>
                </pt>
                <pt idx="205">
                  <v>4.62269052147199</v>
                </pt>
                <pt idx="206">
                  <v>4.563433683684179</v>
                </pt>
                <pt idx="207">
                  <v>4.509815879579284</v>
                </pt>
                <pt idx="208">
                  <v>4.461300484152249</v>
                </pt>
                <pt idx="209">
                  <v>4.417401939019061</v>
                </pt>
                <pt idx="210">
                  <v>4.377680892785209</v>
                </pt>
                <pt idx="211">
                  <v>4.341739803869284</v>
                </pt>
                <pt idx="212">
                  <v>4.309218961773199</v>
                </pt>
                <pt idx="213">
                  <v>4.279792886978622</v>
                </pt>
                <pt idx="214">
                  <v>4.253167073438563</v>
                </pt>
                <pt idx="215">
                  <v>4.229075041061869</v>
                </pt>
                <pt idx="216">
                  <v>4.207275668690903</v>
                </pt>
                <pt idx="217">
                  <v>4.187550780879954</v>
                </pt>
                <pt idx="218">
                  <v>4.169702964322045</v>
                </pt>
                <pt idx="219">
                  <v>4.153553592070208</v>
                </pt>
                <pt idx="220">
                  <v>4.138941035778954</v>
                </pt>
                <pt idx="221">
                  <v>4.125719048073471</v>
                </pt>
                <pt idx="222">
                  <v>4.113755298856738</v>
                </pt>
                <pt idx="223">
                  <v>4.10293005090544</v>
                </pt>
                <pt idx="224">
                  <v>4.093134961499588</v>
                </pt>
                <pt idx="225">
                  <v>4.084271998092166</v>
                </pt>
                <pt idx="226">
                  <v>4.076252457166446</v>
                </pt>
                <pt idx="227">
                  <v>4.068996076461385</v>
                </pt>
                <pt idx="228">
                  <v>4.062430231679931</v>
                </pt>
                <pt idx="229">
                  <v>4.056489209640656</v>
                </pt>
                <pt idx="230">
                  <v>4.051113550598143</v>
                </pt>
                <pt idx="231">
                  <v>4.046249453149874</v>
                </pt>
                <pt idx="232">
                  <v>4.041848235773707</v>
                </pt>
                <pt idx="233">
                  <v>4.037865849606841</v>
                </pt>
                <pt idx="234">
                  <v>4.034262437589993</v>
                </pt>
                <pt idx="235">
                  <v>4.031001935564547</v>
                </pt>
                <pt idx="236">
                  <v>4.028051711330342</v>
                </pt>
                <pt idx="237">
                  <v>4.025382238051637</v>
                </pt>
                <pt idx="238">
                  <v>4.022966798742617</v>
                </pt>
                <pt idx="239">
                  <v>4.020781218874821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6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Pressure (PL)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VCV!$H$30</f>
              <strCache>
                <ptCount val="1"/>
                <pt idx="0">
                  <v>PL (cmH2O)</v>
                </pt>
              </strCache>
            </strRef>
          </tx>
          <spPr>
            <a:ln xmlns:a="http://schemas.openxmlformats.org/drawingml/2006/main" w="22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VCV!$H$31:$H$270</f>
              <numCache>
                <formatCode>0.000</formatCode>
                <ptCount val="240"/>
                <pt idx="0">
                  <v>6</v>
                </pt>
                <pt idx="1">
                  <v>6.375</v>
                </pt>
                <pt idx="2">
                  <v>6.75</v>
                </pt>
                <pt idx="3">
                  <v>7.125</v>
                </pt>
                <pt idx="4">
                  <v>7.5</v>
                </pt>
                <pt idx="5">
                  <v>7.875</v>
                </pt>
                <pt idx="6">
                  <v>8.25</v>
                </pt>
                <pt idx="7">
                  <v>8.625</v>
                </pt>
                <pt idx="8">
                  <v>9</v>
                </pt>
                <pt idx="9">
                  <v>9.375</v>
                </pt>
                <pt idx="10">
                  <v>9.75</v>
                </pt>
                <pt idx="11">
                  <v>10.125</v>
                </pt>
                <pt idx="12">
                  <v>10.5</v>
                </pt>
                <pt idx="13">
                  <v>10.875</v>
                </pt>
                <pt idx="14">
                  <v>11.25</v>
                </pt>
                <pt idx="15">
                  <v>11.625</v>
                </pt>
                <pt idx="16">
                  <v>12</v>
                </pt>
                <pt idx="17">
                  <v>12.375</v>
                </pt>
                <pt idx="18">
                  <v>12.75</v>
                </pt>
                <pt idx="19">
                  <v>13.125</v>
                </pt>
                <pt idx="20">
                  <v>13.5</v>
                </pt>
                <pt idx="21">
                  <v>13.875</v>
                </pt>
                <pt idx="22">
                  <v>14.25</v>
                </pt>
                <pt idx="23">
                  <v>14.625</v>
                </pt>
                <pt idx="24">
                  <v>15</v>
                </pt>
                <pt idx="25">
                  <v>15.375</v>
                </pt>
                <pt idx="26">
                  <v>15.75</v>
                </pt>
                <pt idx="27">
                  <v>12.30117440301098</v>
                </pt>
                <pt idx="28">
                  <v>11.22572546759454</v>
                </pt>
                <pt idx="29">
                  <v>10.2526190296428</v>
                </pt>
                <pt idx="30">
                  <v>9.372115912852372</v>
                </pt>
                <pt idx="31">
                  <v>8.575403746083111</v>
                </pt>
                <pt idx="32">
                  <v>7.854508766185779</v>
                </pt>
                <pt idx="33">
                  <v>7.202216013900393</v>
                </pt>
                <pt idx="34">
                  <v>6.611997124118912</v>
                </pt>
                <pt idx="35">
                  <v>6.077944987812987</v>
                </pt>
                <pt idx="36">
                  <v>5.594714631701346</v>
                </pt>
                <pt idx="37">
                  <v>5.157469723960688</v>
                </pt>
                <pt idx="38">
                  <v>4.761834170591264</v>
                </pt>
                <pt idx="39">
                  <v>4.403848317997245</v>
                </pt>
                <pt idx="40">
                  <v>4.079929323442672</v>
                </pt>
                <pt idx="41">
                  <v>3.786835296757108</v>
                </pt>
                <pt idx="42">
                  <v>3.521632854409177</v>
                </pt>
                <pt idx="43">
                  <v>3.281667761218248</v>
                </pt>
                <pt idx="44">
                  <v>3.064538365876606</v>
                </pt>
                <pt idx="45">
                  <v>2.868071564415968</v>
                </pt>
                <pt idx="46">
                  <v>2.690301051052541</v>
                </pt>
                <pt idx="47">
                  <v>2.529447638737849</v>
                </pt>
                <pt idx="48">
                  <v>2.383901452456751</v>
                </pt>
                <pt idx="49">
                  <v>2.25220581705718</v>
                </pt>
                <pt idx="50">
                  <v>2.133042678355628</v>
                </pt>
                <pt idx="51">
                  <v>2.025219411607855</v>
                </pt>
                <pt idx="52">
                  <v>1.927656885319596</v>
                </pt>
                <pt idx="53">
                  <v>1.839378660935864</v>
                </pt>
                <pt idx="54">
                  <v>1.759501220315688</v>
                </pt>
                <pt idx="55">
                  <v>1.687225123185608</v>
                </pt>
                <pt idx="56">
                  <v>1.62182700607271</v>
                </pt>
                <pt idx="57">
                  <v>1.562652342639861</v>
                </pt>
                <pt idx="58">
                  <v>1.509108892966137</v>
                </pt>
                <pt idx="59">
                  <v>1.460660776210625</v>
                </pt>
                <pt idx="60">
                  <v>1.416823107336863</v>
                </pt>
                <pt idx="61">
                  <v>1.377157144220413</v>
                </pt>
                <pt idx="62">
                  <v>1.341265896570214</v>
                </pt>
                <pt idx="63">
                  <v>1.30879015271632</v>
                </pt>
                <pt idx="64">
                  <v>1.279404884498764</v>
                </pt>
                <pt idx="65">
                  <v>1.252815994276498</v>
                </pt>
                <pt idx="66">
                  <v>1.228757371499341</v>
                </pt>
                <pt idx="67">
                  <v>1.206988229384155</v>
                </pt>
                <pt idx="68">
                  <v>1.187290695039794</v>
                </pt>
                <pt idx="69">
                  <v>1.169467628921968</v>
                </pt>
                <pt idx="70">
                  <v>1.153340651794429</v>
                </pt>
                <pt idx="71">
                  <v>1.138748359449623</v>
                </pt>
                <pt idx="72">
                  <v>1.125544707321121</v>
                </pt>
                <pt idx="73">
                  <v>1.113597548820525</v>
                </pt>
                <pt idx="74">
                  <v>1.102787312769977</v>
                </pt>
                <pt idx="75">
                  <v>1.093005806693641</v>
                </pt>
                <pt idx="76">
                  <v>1.084155133991025</v>
                </pt>
                <pt idx="77">
                  <v>1.076146714154909</v>
                </pt>
                <pt idx="78">
                  <v>1.06890039622785</v>
                </pt>
                <pt idx="79">
                  <v>1.062343656624463</v>
                </pt>
                <pt idx="80">
                  <v>6</v>
                </pt>
                <pt idx="81">
                  <v>6.374999999999998</v>
                </pt>
                <pt idx="82">
                  <v>6.749999999999997</v>
                </pt>
                <pt idx="83">
                  <v>7.125000000000003</v>
                </pt>
                <pt idx="84">
                  <v>7.500000000000002</v>
                </pt>
                <pt idx="85">
                  <v>7.875</v>
                </pt>
                <pt idx="86">
                  <v>8.249999999999998</v>
                </pt>
                <pt idx="87">
                  <v>8.624999999999996</v>
                </pt>
                <pt idx="88">
                  <v>9.000000000000004</v>
                </pt>
                <pt idx="89">
                  <v>9.375000000000002</v>
                </pt>
                <pt idx="90">
                  <v>9.75</v>
                </pt>
                <pt idx="91">
                  <v>10.125</v>
                </pt>
                <pt idx="92">
                  <v>10.5</v>
                </pt>
                <pt idx="93">
                  <v>10.875</v>
                </pt>
                <pt idx="94">
                  <v>11.25</v>
                </pt>
                <pt idx="95">
                  <v>11.625</v>
                </pt>
                <pt idx="96">
                  <v>12</v>
                </pt>
                <pt idx="97">
                  <v>12.375</v>
                </pt>
                <pt idx="98">
                  <v>12.75</v>
                </pt>
                <pt idx="99">
                  <v>13.125</v>
                </pt>
                <pt idx="100">
                  <v>13.5</v>
                </pt>
                <pt idx="101">
                  <v>13.875</v>
                </pt>
                <pt idx="102">
                  <v>14.25</v>
                </pt>
                <pt idx="103">
                  <v>14.625</v>
                </pt>
                <pt idx="104">
                  <v>15</v>
                </pt>
                <pt idx="105">
                  <v>15.375</v>
                </pt>
                <pt idx="106">
                  <v>15.75</v>
                </pt>
                <pt idx="107">
                  <v>12.30117440301099</v>
                </pt>
                <pt idx="108">
                  <v>11.22572546759453</v>
                </pt>
                <pt idx="109">
                  <v>10.25261902964279</v>
                </pt>
                <pt idx="110">
                  <v>9.372115912852372</v>
                </pt>
                <pt idx="111">
                  <v>8.575403746083115</v>
                </pt>
                <pt idx="112">
                  <v>7.854508766185784</v>
                </pt>
                <pt idx="113">
                  <v>7.202216013900387</v>
                </pt>
                <pt idx="114">
                  <v>6.611997124118909</v>
                </pt>
                <pt idx="115">
                  <v>6.077944987812987</v>
                </pt>
                <pt idx="116">
                  <v>5.594714631701346</v>
                </pt>
                <pt idx="117">
                  <v>5.157469723960692</v>
                </pt>
                <pt idx="118">
                  <v>4.761834170591261</v>
                </pt>
                <pt idx="119">
                  <v>4.403848317997243</v>
                </pt>
                <pt idx="120">
                  <v>4.079929323442672</v>
                </pt>
                <pt idx="121">
                  <v>3.786835296757108</v>
                </pt>
                <pt idx="122">
                  <v>3.521632854409179</v>
                </pt>
                <pt idx="123">
                  <v>3.281667761218245</v>
                </pt>
                <pt idx="124">
                  <v>3.064538365876606</v>
                </pt>
                <pt idx="125">
                  <v>2.868071564415968</v>
                </pt>
                <pt idx="126">
                  <v>2.690301051052541</v>
                </pt>
                <pt idx="127">
                  <v>2.52944763873785</v>
                </pt>
                <pt idx="128">
                  <v>2.38390145245675</v>
                </pt>
                <pt idx="129">
                  <v>2.25220581705718</v>
                </pt>
                <pt idx="130">
                  <v>2.133042678355628</v>
                </pt>
                <pt idx="131">
                  <v>2.025219411607855</v>
                </pt>
                <pt idx="132">
                  <v>1.927656885319598</v>
                </pt>
                <pt idx="133">
                  <v>1.839378660935863</v>
                </pt>
                <pt idx="134">
                  <v>1.759501220315688</v>
                </pt>
                <pt idx="135">
                  <v>1.687225123185608</v>
                </pt>
                <pt idx="136">
                  <v>1.62182700607271</v>
                </pt>
                <pt idx="137">
                  <v>1.562652342639862</v>
                </pt>
                <pt idx="138">
                  <v>1.509108892966136</v>
                </pt>
                <pt idx="139">
                  <v>1.460660776210625</v>
                </pt>
                <pt idx="140">
                  <v>1.416823107336863</v>
                </pt>
                <pt idx="141">
                  <v>1.377157144220413</v>
                </pt>
                <pt idx="142">
                  <v>1.341265896570214</v>
                </pt>
                <pt idx="143">
                  <v>1.308790152716319</v>
                </pt>
                <pt idx="144">
                  <v>1.279404884498764</v>
                </pt>
                <pt idx="145">
                  <v>1.252815994276498</v>
                </pt>
                <pt idx="146">
                  <v>1.228757371499341</v>
                </pt>
                <pt idx="147">
                  <v>1.206988229384156</v>
                </pt>
                <pt idx="148">
                  <v>1.187290695039794</v>
                </pt>
                <pt idx="149">
                  <v>1.169467628921968</v>
                </pt>
                <pt idx="150">
                  <v>1.153340651794429</v>
                </pt>
                <pt idx="151">
                  <v>1.138748359449623</v>
                </pt>
                <pt idx="152">
                  <v>1.125544707321122</v>
                </pt>
                <pt idx="153">
                  <v>1.113597548820525</v>
                </pt>
                <pt idx="154">
                  <v>1.102787312769977</v>
                </pt>
                <pt idx="155">
                  <v>1.093005806693641</v>
                </pt>
                <pt idx="156">
                  <v>1.084155133991025</v>
                </pt>
                <pt idx="157">
                  <v>1.076146714154909</v>
                </pt>
                <pt idx="158">
                  <v>1.06890039622785</v>
                </pt>
                <pt idx="159">
                  <v>1.062343656624463</v>
                </pt>
                <pt idx="160">
                  <v>6</v>
                </pt>
                <pt idx="161">
                  <v>6.375000000000005</v>
                </pt>
                <pt idx="162">
                  <v>6.749999999999997</v>
                </pt>
                <pt idx="163">
                  <v>7.125000000000003</v>
                </pt>
                <pt idx="164">
                  <v>7.499999999999995</v>
                </pt>
                <pt idx="165">
                  <v>7.875</v>
                </pt>
                <pt idx="166">
                  <v>8.250000000000005</v>
                </pt>
                <pt idx="167">
                  <v>8.624999999999996</v>
                </pt>
                <pt idx="168">
                  <v>9.000000000000004</v>
                </pt>
                <pt idx="169">
                  <v>9.374999999999995</v>
                </pt>
                <pt idx="170">
                  <v>9.75</v>
                </pt>
                <pt idx="171">
                  <v>10.12500000000001</v>
                </pt>
                <pt idx="172">
                  <v>10.5</v>
                </pt>
                <pt idx="173">
                  <v>10.875</v>
                </pt>
                <pt idx="174">
                  <v>11.24999999999999</v>
                </pt>
                <pt idx="175">
                  <v>11.625</v>
                </pt>
                <pt idx="176">
                  <v>12.00000000000001</v>
                </pt>
                <pt idx="177">
                  <v>12.375</v>
                </pt>
                <pt idx="178">
                  <v>12.75</v>
                </pt>
                <pt idx="179">
                  <v>13.12499999999999</v>
                </pt>
                <pt idx="180">
                  <v>13.5</v>
                </pt>
                <pt idx="181">
                  <v>13.87500000000001</v>
                </pt>
                <pt idx="182">
                  <v>14.25</v>
                </pt>
                <pt idx="183">
                  <v>14.625</v>
                </pt>
                <pt idx="184">
                  <v>14.99999999999999</v>
                </pt>
                <pt idx="185">
                  <v>15.375</v>
                </pt>
                <pt idx="186">
                  <v>15.75000000000001</v>
                </pt>
                <pt idx="187">
                  <v>12.30117440301099</v>
                </pt>
                <pt idx="188">
                  <v>11.22572546759453</v>
                </pt>
                <pt idx="189">
                  <v>10.25261902964281</v>
                </pt>
                <pt idx="190">
                  <v>9.372115912852372</v>
                </pt>
                <pt idx="191">
                  <v>8.575403746083103</v>
                </pt>
                <pt idx="192">
                  <v>7.854508766185784</v>
                </pt>
                <pt idx="193">
                  <v>7.202216013900387</v>
                </pt>
                <pt idx="194">
                  <v>6.61199712411892</v>
                </pt>
                <pt idx="195">
                  <v>6.077944987812987</v>
                </pt>
                <pt idx="196">
                  <v>5.594714631701338</v>
                </pt>
                <pt idx="197">
                  <v>5.157469723960692</v>
                </pt>
                <pt idx="198">
                  <v>4.761834170591261</v>
                </pt>
                <pt idx="199">
                  <v>4.403848317997251</v>
                </pt>
                <pt idx="200">
                  <v>4.079929323442672</v>
                </pt>
                <pt idx="201">
                  <v>3.786835296757102</v>
                </pt>
                <pt idx="202">
                  <v>3.521632854409179</v>
                </pt>
                <pt idx="203">
                  <v>3.281667761218245</v>
                </pt>
                <pt idx="204">
                  <v>3.064538365876609</v>
                </pt>
                <pt idx="205">
                  <v>2.868071564415968</v>
                </pt>
                <pt idx="206">
                  <v>2.690301051052538</v>
                </pt>
                <pt idx="207">
                  <v>2.52944763873785</v>
                </pt>
                <pt idx="208">
                  <v>2.38390145245675</v>
                </pt>
                <pt idx="209">
                  <v>2.252205817057182</v>
                </pt>
                <pt idx="210">
                  <v>2.133042678355628</v>
                </pt>
                <pt idx="211">
                  <v>2.025219411607853</v>
                </pt>
                <pt idx="212">
                  <v>1.927656885319598</v>
                </pt>
                <pt idx="213">
                  <v>1.839378660935863</v>
                </pt>
                <pt idx="214">
                  <v>1.759501220315689</v>
                </pt>
                <pt idx="215">
                  <v>1.687225123185608</v>
                </pt>
                <pt idx="216">
                  <v>1.621827006072709</v>
                </pt>
                <pt idx="217">
                  <v>1.562652342639862</v>
                </pt>
                <pt idx="218">
                  <v>1.509108892966136</v>
                </pt>
                <pt idx="219">
                  <v>1.460660776210625</v>
                </pt>
                <pt idx="220">
                  <v>1.416823107336863</v>
                </pt>
                <pt idx="221">
                  <v>1.377157144220412</v>
                </pt>
                <pt idx="222">
                  <v>1.341265896570214</v>
                </pt>
                <pt idx="223">
                  <v>1.308790152716319</v>
                </pt>
                <pt idx="224">
                  <v>1.279404884498764</v>
                </pt>
                <pt idx="225">
                  <v>1.252815994276498</v>
                </pt>
                <pt idx="226">
                  <v>1.22875737149934</v>
                </pt>
                <pt idx="227">
                  <v>1.206988229384156</v>
                </pt>
                <pt idx="228">
                  <v>1.187290695039794</v>
                </pt>
                <pt idx="229">
                  <v>1.169467628921968</v>
                </pt>
                <pt idx="230">
                  <v>1.153340651794429</v>
                </pt>
                <pt idx="231">
                  <v>1.138748359449622</v>
                </pt>
                <pt idx="232">
                  <v>1.125544707321122</v>
                </pt>
                <pt idx="233">
                  <v>1.113597548820525</v>
                </pt>
                <pt idx="234">
                  <v>1.102787312769976</v>
                </pt>
                <pt idx="235">
                  <v>1.093005806693641</v>
                </pt>
                <pt idx="236">
                  <v>1.084155133991024</v>
                </pt>
                <pt idx="237">
                  <v>1.076146714154909</v>
                </pt>
                <pt idx="238">
                  <v>1.06890039622785</v>
                </pt>
                <pt idx="239">
                  <v>1.062343656624463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7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Alveolar Pressure (Palv) — VCV</a:t>
            </a:r>
          </a:p>
        </rich>
      </tx>
      <overlay val="1"/>
    </title>
    <plotArea>
      <layout/>
      <lineChart>
        <grouping val="standard"/>
        <varyColors val="1"/>
        <ser>
          <idx val="0"/>
          <order val="0"/>
          <tx>
            <strRef>
              <f>VCV!$I$30</f>
              <strCache>
                <ptCount val="1"/>
                <pt idx="0">
                  <v>Palv (cmH2O)</v>
                </pt>
              </strCache>
            </strRef>
          </tx>
          <spPr>
            <a:ln xmlns:a="http://schemas.openxmlformats.org/drawingml/2006/main" w="22000">
              <a:solidFill>
                <a:srgbClr val="92D05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VCV!$B$31:$B$270</f>
              <numCache>
                <formatCode>0.000</formatCode>
                <ptCount val="240"/>
                <pt idx="0">
                  <v>0</v>
                </pt>
                <pt idx="1">
                  <v>0.05</v>
                </pt>
                <pt idx="2">
                  <v>0.1</v>
                </pt>
                <pt idx="3">
                  <v>0.15</v>
                </pt>
                <pt idx="4">
                  <v>0.2</v>
                </pt>
                <pt idx="5">
                  <v>0.25</v>
                </pt>
                <pt idx="6">
                  <v>0.3</v>
                </pt>
                <pt idx="7">
                  <v>0.35</v>
                </pt>
                <pt idx="8">
                  <v>0.4</v>
                </pt>
                <pt idx="9">
                  <v>0.45</v>
                </pt>
                <pt idx="10">
                  <v>0.5</v>
                </pt>
                <pt idx="11">
                  <v>0.55</v>
                </pt>
                <pt idx="12">
                  <v>0.6</v>
                </pt>
                <pt idx="13">
                  <v>0.65</v>
                </pt>
                <pt idx="14">
                  <v>0.7</v>
                </pt>
                <pt idx="15">
                  <v>0.75</v>
                </pt>
                <pt idx="16">
                  <v>0.8</v>
                </pt>
                <pt idx="17">
                  <v>0.85</v>
                </pt>
                <pt idx="18">
                  <v>0.9</v>
                </pt>
                <pt idx="19">
                  <v>0.95</v>
                </pt>
                <pt idx="20">
                  <v>1</v>
                </pt>
                <pt idx="21">
                  <v>1.05</v>
                </pt>
                <pt idx="22">
                  <v>1.1</v>
                </pt>
                <pt idx="23">
                  <v>1.15</v>
                </pt>
                <pt idx="24">
                  <v>1.2</v>
                </pt>
                <pt idx="25">
                  <v>1.25</v>
                </pt>
                <pt idx="26">
                  <v>1.3</v>
                </pt>
                <pt idx="27">
                  <v>1.35</v>
                </pt>
                <pt idx="28">
                  <v>1.4</v>
                </pt>
                <pt idx="29">
                  <v>1.45</v>
                </pt>
                <pt idx="30">
                  <v>1.5</v>
                </pt>
                <pt idx="31">
                  <v>1.55</v>
                </pt>
                <pt idx="32">
                  <v>1.6</v>
                </pt>
                <pt idx="33">
                  <v>1.65</v>
                </pt>
                <pt idx="34">
                  <v>1.7</v>
                </pt>
                <pt idx="35">
                  <v>1.75</v>
                </pt>
                <pt idx="36">
                  <v>1.8</v>
                </pt>
                <pt idx="37">
                  <v>1.85</v>
                </pt>
                <pt idx="38">
                  <v>1.9</v>
                </pt>
                <pt idx="39">
                  <v>1.95</v>
                </pt>
                <pt idx="40">
                  <v>2</v>
                </pt>
                <pt idx="41">
                  <v>2.05</v>
                </pt>
                <pt idx="42">
                  <v>2.1</v>
                </pt>
                <pt idx="43">
                  <v>2.15</v>
                </pt>
                <pt idx="44">
                  <v>2.2</v>
                </pt>
                <pt idx="45">
                  <v>2.25</v>
                </pt>
                <pt idx="46">
                  <v>2.3</v>
                </pt>
                <pt idx="47">
                  <v>2.35</v>
                </pt>
                <pt idx="48">
                  <v>2.4</v>
                </pt>
                <pt idx="49">
                  <v>2.45</v>
                </pt>
                <pt idx="50">
                  <v>2.5</v>
                </pt>
                <pt idx="51">
                  <v>2.55</v>
                </pt>
                <pt idx="52">
                  <v>2.6</v>
                </pt>
                <pt idx="53">
                  <v>2.65</v>
                </pt>
                <pt idx="54">
                  <v>2.7</v>
                </pt>
                <pt idx="55">
                  <v>2.75</v>
                </pt>
                <pt idx="56">
                  <v>2.8</v>
                </pt>
                <pt idx="57">
                  <v>2.85</v>
                </pt>
                <pt idx="58">
                  <v>2.9</v>
                </pt>
                <pt idx="59">
                  <v>2.95</v>
                </pt>
                <pt idx="60">
                  <v>3</v>
                </pt>
                <pt idx="61">
                  <v>3.05</v>
                </pt>
                <pt idx="62">
                  <v>3.1</v>
                </pt>
                <pt idx="63">
                  <v>3.15</v>
                </pt>
                <pt idx="64">
                  <v>3.2</v>
                </pt>
                <pt idx="65">
                  <v>3.25</v>
                </pt>
                <pt idx="66">
                  <v>3.3</v>
                </pt>
                <pt idx="67">
                  <v>3.35</v>
                </pt>
                <pt idx="68">
                  <v>3.4</v>
                </pt>
                <pt idx="69">
                  <v>3.45</v>
                </pt>
                <pt idx="70">
                  <v>3.5</v>
                </pt>
                <pt idx="71">
                  <v>3.55</v>
                </pt>
                <pt idx="72">
                  <v>3.6</v>
                </pt>
                <pt idx="73">
                  <v>3.65</v>
                </pt>
                <pt idx="74">
                  <v>3.7</v>
                </pt>
                <pt idx="75">
                  <v>3.75</v>
                </pt>
                <pt idx="76">
                  <v>3.8</v>
                </pt>
                <pt idx="77">
                  <v>3.85</v>
                </pt>
                <pt idx="78">
                  <v>3.9</v>
                </pt>
                <pt idx="79">
                  <v>3.95</v>
                </pt>
                <pt idx="80">
                  <v>4</v>
                </pt>
                <pt idx="81">
                  <v>4.05</v>
                </pt>
                <pt idx="82">
                  <v>4.1</v>
                </pt>
                <pt idx="83">
                  <v>4.15</v>
                </pt>
                <pt idx="84">
                  <v>4.2</v>
                </pt>
                <pt idx="85">
                  <v>4.25</v>
                </pt>
                <pt idx="86">
                  <v>4.3</v>
                </pt>
                <pt idx="87">
                  <v>4.35</v>
                </pt>
                <pt idx="88">
                  <v>4.4</v>
                </pt>
                <pt idx="89">
                  <v>4.45</v>
                </pt>
                <pt idx="90">
                  <v>4.5</v>
                </pt>
                <pt idx="91">
                  <v>4.55</v>
                </pt>
                <pt idx="92">
                  <v>4.6</v>
                </pt>
                <pt idx="93">
                  <v>4.65</v>
                </pt>
                <pt idx="94">
                  <v>4.7</v>
                </pt>
                <pt idx="95">
                  <v>4.75</v>
                </pt>
                <pt idx="96">
                  <v>4.8</v>
                </pt>
                <pt idx="97">
                  <v>4.85</v>
                </pt>
                <pt idx="98">
                  <v>4.9</v>
                </pt>
                <pt idx="99">
                  <v>4.95</v>
                </pt>
                <pt idx="100">
                  <v>5</v>
                </pt>
                <pt idx="101">
                  <v>5.05</v>
                </pt>
                <pt idx="102">
                  <v>5.1</v>
                </pt>
                <pt idx="103">
                  <v>5.15</v>
                </pt>
                <pt idx="104">
                  <v>5.2</v>
                </pt>
                <pt idx="105">
                  <v>5.25</v>
                </pt>
                <pt idx="106">
                  <v>5.3</v>
                </pt>
                <pt idx="107">
                  <v>5.35</v>
                </pt>
                <pt idx="108">
                  <v>5.4</v>
                </pt>
                <pt idx="109">
                  <v>5.45</v>
                </pt>
                <pt idx="110">
                  <v>5.5</v>
                </pt>
                <pt idx="111">
                  <v>5.55</v>
                </pt>
                <pt idx="112">
                  <v>5.6</v>
                </pt>
                <pt idx="113">
                  <v>5.65</v>
                </pt>
                <pt idx="114">
                  <v>5.7</v>
                </pt>
                <pt idx="115">
                  <v>5.75</v>
                </pt>
                <pt idx="116">
                  <v>5.8</v>
                </pt>
                <pt idx="117">
                  <v>5.85</v>
                </pt>
                <pt idx="118">
                  <v>5.9</v>
                </pt>
                <pt idx="119">
                  <v>5.95</v>
                </pt>
                <pt idx="120">
                  <v>6</v>
                </pt>
                <pt idx="121">
                  <v>6.05</v>
                </pt>
                <pt idx="122">
                  <v>6.1</v>
                </pt>
                <pt idx="123">
                  <v>6.15</v>
                </pt>
                <pt idx="124">
                  <v>6.2</v>
                </pt>
                <pt idx="125">
                  <v>6.25</v>
                </pt>
                <pt idx="126">
                  <v>6.3</v>
                </pt>
                <pt idx="127">
                  <v>6.35</v>
                </pt>
                <pt idx="128">
                  <v>6.4</v>
                </pt>
                <pt idx="129">
                  <v>6.45</v>
                </pt>
                <pt idx="130">
                  <v>6.5</v>
                </pt>
                <pt idx="131">
                  <v>6.55</v>
                </pt>
                <pt idx="132">
                  <v>6.6</v>
                </pt>
                <pt idx="133">
                  <v>6.65</v>
                </pt>
                <pt idx="134">
                  <v>6.7</v>
                </pt>
                <pt idx="135">
                  <v>6.75</v>
                </pt>
                <pt idx="136">
                  <v>6.8</v>
                </pt>
                <pt idx="137">
                  <v>6.85</v>
                </pt>
                <pt idx="138">
                  <v>6.9</v>
                </pt>
                <pt idx="139">
                  <v>6.95</v>
                </pt>
                <pt idx="140">
                  <v>7</v>
                </pt>
                <pt idx="141">
                  <v>7.05</v>
                </pt>
                <pt idx="142">
                  <v>7.1</v>
                </pt>
                <pt idx="143">
                  <v>7.15</v>
                </pt>
                <pt idx="144">
                  <v>7.2</v>
                </pt>
                <pt idx="145">
                  <v>7.25</v>
                </pt>
                <pt idx="146">
                  <v>7.3</v>
                </pt>
                <pt idx="147">
                  <v>7.35</v>
                </pt>
                <pt idx="148">
                  <v>7.4</v>
                </pt>
                <pt idx="149">
                  <v>7.45</v>
                </pt>
                <pt idx="150">
                  <v>7.5</v>
                </pt>
                <pt idx="151">
                  <v>7.55</v>
                </pt>
                <pt idx="152">
                  <v>7.6</v>
                </pt>
                <pt idx="153">
                  <v>7.65</v>
                </pt>
                <pt idx="154">
                  <v>7.7</v>
                </pt>
                <pt idx="155">
                  <v>7.75</v>
                </pt>
                <pt idx="156">
                  <v>7.8</v>
                </pt>
                <pt idx="157">
                  <v>7.85</v>
                </pt>
                <pt idx="158">
                  <v>7.9</v>
                </pt>
                <pt idx="159">
                  <v>7.95</v>
                </pt>
                <pt idx="160">
                  <v>8</v>
                </pt>
                <pt idx="161">
                  <v>8.050000000000001</v>
                </pt>
                <pt idx="162">
                  <v>8.1</v>
                </pt>
                <pt idx="163">
                  <v>8.15</v>
                </pt>
                <pt idx="164">
                  <v>8.199999999999999</v>
                </pt>
                <pt idx="165">
                  <v>8.25</v>
                </pt>
                <pt idx="166">
                  <v>8.300000000000001</v>
                </pt>
                <pt idx="167">
                  <v>8.35</v>
                </pt>
                <pt idx="168">
                  <v>8.4</v>
                </pt>
                <pt idx="169">
                  <v>8.449999999999999</v>
                </pt>
                <pt idx="170">
                  <v>8.5</v>
                </pt>
                <pt idx="171">
                  <v>8.550000000000001</v>
                </pt>
                <pt idx="172">
                  <v>8.6</v>
                </pt>
                <pt idx="173">
                  <v>8.65</v>
                </pt>
                <pt idx="174">
                  <v>8.699999999999999</v>
                </pt>
                <pt idx="175">
                  <v>8.75</v>
                </pt>
                <pt idx="176">
                  <v>8.800000000000001</v>
                </pt>
                <pt idx="177">
                  <v>8.85</v>
                </pt>
                <pt idx="178">
                  <v>8.9</v>
                </pt>
                <pt idx="179">
                  <v>8.949999999999999</v>
                </pt>
                <pt idx="180">
                  <v>9</v>
                </pt>
                <pt idx="181">
                  <v>9.050000000000001</v>
                </pt>
                <pt idx="182">
                  <v>9.1</v>
                </pt>
                <pt idx="183">
                  <v>9.15</v>
                </pt>
                <pt idx="184">
                  <v>9.199999999999999</v>
                </pt>
                <pt idx="185">
                  <v>9.25</v>
                </pt>
                <pt idx="186">
                  <v>9.300000000000001</v>
                </pt>
                <pt idx="187">
                  <v>9.35</v>
                </pt>
                <pt idx="188">
                  <v>9.4</v>
                </pt>
                <pt idx="189">
                  <v>9.449999999999999</v>
                </pt>
                <pt idx="190">
                  <v>9.5</v>
                </pt>
                <pt idx="191">
                  <v>9.550000000000001</v>
                </pt>
                <pt idx="192">
                  <v>9.6</v>
                </pt>
                <pt idx="193">
                  <v>9.65</v>
                </pt>
                <pt idx="194">
                  <v>9.699999999999999</v>
                </pt>
                <pt idx="195">
                  <v>9.75</v>
                </pt>
                <pt idx="196">
                  <v>9.800000000000001</v>
                </pt>
                <pt idx="197">
                  <v>9.85</v>
                </pt>
                <pt idx="198">
                  <v>9.9</v>
                </pt>
                <pt idx="199">
                  <v>9.949999999999999</v>
                </pt>
                <pt idx="200">
                  <v>10</v>
                </pt>
                <pt idx="201">
                  <v>10.05</v>
                </pt>
                <pt idx="202">
                  <v>10.1</v>
                </pt>
                <pt idx="203">
                  <v>10.15</v>
                </pt>
                <pt idx="204">
                  <v>10.2</v>
                </pt>
                <pt idx="205">
                  <v>10.25</v>
                </pt>
                <pt idx="206">
                  <v>10.3</v>
                </pt>
                <pt idx="207">
                  <v>10.35</v>
                </pt>
                <pt idx="208">
                  <v>10.4</v>
                </pt>
                <pt idx="209">
                  <v>10.45</v>
                </pt>
                <pt idx="210">
                  <v>10.5</v>
                </pt>
                <pt idx="211">
                  <v>10.55</v>
                </pt>
                <pt idx="212">
                  <v>10.6</v>
                </pt>
                <pt idx="213">
                  <v>10.65</v>
                </pt>
                <pt idx="214">
                  <v>10.7</v>
                </pt>
                <pt idx="215">
                  <v>10.75</v>
                </pt>
                <pt idx="216">
                  <v>10.8</v>
                </pt>
                <pt idx="217">
                  <v>10.85</v>
                </pt>
                <pt idx="218">
                  <v>10.9</v>
                </pt>
                <pt idx="219">
                  <v>10.95</v>
                </pt>
                <pt idx="220">
                  <v>11</v>
                </pt>
                <pt idx="221">
                  <v>11.05</v>
                </pt>
                <pt idx="222">
                  <v>11.1</v>
                </pt>
                <pt idx="223">
                  <v>11.15</v>
                </pt>
                <pt idx="224">
                  <v>11.2</v>
                </pt>
                <pt idx="225">
                  <v>11.25</v>
                </pt>
                <pt idx="226">
                  <v>11.3</v>
                </pt>
                <pt idx="227">
                  <v>11.35</v>
                </pt>
                <pt idx="228">
                  <v>11.4</v>
                </pt>
                <pt idx="229">
                  <v>11.45</v>
                </pt>
                <pt idx="230">
                  <v>11.5</v>
                </pt>
                <pt idx="231">
                  <v>11.55</v>
                </pt>
                <pt idx="232">
                  <v>11.6</v>
                </pt>
                <pt idx="233">
                  <v>11.65</v>
                </pt>
                <pt idx="234">
                  <v>11.7</v>
                </pt>
                <pt idx="235">
                  <v>11.75</v>
                </pt>
                <pt idx="236">
                  <v>11.8</v>
                </pt>
                <pt idx="237">
                  <v>11.85</v>
                </pt>
                <pt idx="238">
                  <v>11.9</v>
                </pt>
                <pt idx="239">
                  <v>11.95</v>
                </pt>
              </numCache>
            </numRef>
          </cat>
          <val>
            <numRef>
              <f>VCV!$I$31:$I$270</f>
              <numCache>
                <formatCode>0.000</formatCode>
                <ptCount val="240"/>
                <pt idx="0">
                  <v>5</v>
                </pt>
                <pt idx="1">
                  <v>5.5</v>
                </pt>
                <pt idx="2">
                  <v>6</v>
                </pt>
                <pt idx="3">
                  <v>6.5</v>
                </pt>
                <pt idx="4">
                  <v>7</v>
                </pt>
                <pt idx="5">
                  <v>7.5</v>
                </pt>
                <pt idx="6">
                  <v>8</v>
                </pt>
                <pt idx="7">
                  <v>8.5</v>
                </pt>
                <pt idx="8">
                  <v>9</v>
                </pt>
                <pt idx="9">
                  <v>9.5</v>
                </pt>
                <pt idx="10">
                  <v>10</v>
                </pt>
                <pt idx="11">
                  <v>10.5</v>
                </pt>
                <pt idx="12">
                  <v>11</v>
                </pt>
                <pt idx="13">
                  <v>11.5</v>
                </pt>
                <pt idx="14">
                  <v>12</v>
                </pt>
                <pt idx="15">
                  <v>12.5</v>
                </pt>
                <pt idx="16">
                  <v>13</v>
                </pt>
                <pt idx="17">
                  <v>13.5</v>
                </pt>
                <pt idx="18">
                  <v>14</v>
                </pt>
                <pt idx="19">
                  <v>14.5</v>
                </pt>
                <pt idx="20">
                  <v>15</v>
                </pt>
                <pt idx="21">
                  <v>15.5</v>
                </pt>
                <pt idx="22">
                  <v>16</v>
                </pt>
                <pt idx="23">
                  <v>16.5</v>
                </pt>
                <pt idx="24">
                  <v>17</v>
                </pt>
                <pt idx="25">
                  <v>17.5</v>
                </pt>
                <pt idx="26">
                  <v>18</v>
                </pt>
                <pt idx="27">
                  <v>20.06823253734798</v>
                </pt>
                <pt idx="28">
                  <v>18.63430062345939</v>
                </pt>
                <pt idx="29">
                  <v>17.33682537285706</v>
                </pt>
                <pt idx="30">
                  <v>16.1628212171365</v>
                </pt>
                <pt idx="31">
                  <v>15.10053832811082</v>
                </pt>
                <pt idx="32">
                  <v>14.13934502158104</v>
                </pt>
                <pt idx="33">
                  <v>13.26962135186719</v>
                </pt>
                <pt idx="34">
                  <v>12.48266283215855</v>
                </pt>
                <pt idx="35">
                  <v>11.77059331708398</v>
                </pt>
                <pt idx="36">
                  <v>11.12628617560179</v>
                </pt>
                <pt idx="37">
                  <v>10.54329296528092</v>
                </pt>
                <pt idx="38">
                  <v>10.01577889412169</v>
                </pt>
                <pt idx="39">
                  <v>9.538464423996327</v>
                </pt>
                <pt idx="40">
                  <v>9.106572431256895</v>
                </pt>
                <pt idx="41">
                  <v>8.715780395676143</v>
                </pt>
                <pt idx="42">
                  <v>8.362177139212235</v>
                </pt>
                <pt idx="43">
                  <v>8.04222368162433</v>
                </pt>
                <pt idx="44">
                  <v>7.752717821168808</v>
                </pt>
                <pt idx="45">
                  <v>7.490762085887957</v>
                </pt>
                <pt idx="46">
                  <v>7.253734734736721</v>
                </pt>
                <pt idx="47">
                  <v>7.039263518317131</v>
                </pt>
                <pt idx="48">
                  <v>6.845201936609001</v>
                </pt>
                <pt idx="49">
                  <v>6.66960775607624</v>
                </pt>
                <pt idx="50">
                  <v>6.510723571140837</v>
                </pt>
                <pt idx="51">
                  <v>6.366959215477141</v>
                </pt>
                <pt idx="52">
                  <v>6.236875847092795</v>
                </pt>
                <pt idx="53">
                  <v>6.119171547914486</v>
                </pt>
                <pt idx="54">
                  <v>6.012668293754251</v>
                </pt>
                <pt idx="55">
                  <v>5.916300164247478</v>
                </pt>
                <pt idx="56">
                  <v>5.829102674763614</v>
                </pt>
                <pt idx="57">
                  <v>5.750203123519816</v>
                </pt>
                <pt idx="58">
                  <v>5.678811857288182</v>
                </pt>
                <pt idx="59">
                  <v>5.614214368280833</v>
                </pt>
                <pt idx="60">
                  <v>5.555764143115817</v>
                </pt>
                <pt idx="61">
                  <v>5.502876192293884</v>
                </pt>
                <pt idx="62">
                  <v>5.455021195426952</v>
                </pt>
                <pt idx="63">
                  <v>5.411720203621759</v>
                </pt>
                <pt idx="64">
                  <v>5.372539845998352</v>
                </pt>
                <pt idx="65">
                  <v>5.337087992368663</v>
                </pt>
                <pt idx="66">
                  <v>5.305009828665787</v>
                </pt>
                <pt idx="67">
                  <v>5.27598430584554</v>
                </pt>
                <pt idx="68">
                  <v>5.249720926719725</v>
                </pt>
                <pt idx="69">
                  <v>5.225956838562624</v>
                </pt>
                <pt idx="70">
                  <v>5.204454202392572</v>
                </pt>
                <pt idx="71">
                  <v>5.184997812599497</v>
                </pt>
                <pt idx="72">
                  <v>5.167392943094828</v>
                </pt>
                <pt idx="73">
                  <v>5.151463398427365</v>
                </pt>
                <pt idx="74">
                  <v>5.137049750359969</v>
                </pt>
                <pt idx="75">
                  <v>5.124007742258187</v>
                </pt>
                <pt idx="76">
                  <v>5.112206845321367</v>
                </pt>
                <pt idx="77">
                  <v>5.101528952206546</v>
                </pt>
                <pt idx="78">
                  <v>5.091867194970467</v>
                </pt>
                <pt idx="79">
                  <v>5.083124875499283</v>
                </pt>
                <pt idx="80">
                  <v>5</v>
                </pt>
                <pt idx="81">
                  <v>5.499999999999998</v>
                </pt>
                <pt idx="82">
                  <v>5.999999999999996</v>
                </pt>
                <pt idx="83">
                  <v>6.500000000000004</v>
                </pt>
                <pt idx="84">
                  <v>7.000000000000002</v>
                </pt>
                <pt idx="85">
                  <v>7.5</v>
                </pt>
                <pt idx="86">
                  <v>7.999999999999998</v>
                </pt>
                <pt idx="87">
                  <v>8.499999999999996</v>
                </pt>
                <pt idx="88">
                  <v>9.000000000000004</v>
                </pt>
                <pt idx="89">
                  <v>9.500000000000002</v>
                </pt>
                <pt idx="90">
                  <v>10</v>
                </pt>
                <pt idx="91">
                  <v>10.5</v>
                </pt>
                <pt idx="92">
                  <v>11</v>
                </pt>
                <pt idx="93">
                  <v>11.5</v>
                </pt>
                <pt idx="94">
                  <v>12</v>
                </pt>
                <pt idx="95">
                  <v>12.5</v>
                </pt>
                <pt idx="96">
                  <v>13</v>
                </pt>
                <pt idx="97">
                  <v>13.5</v>
                </pt>
                <pt idx="98">
                  <v>14</v>
                </pt>
                <pt idx="99">
                  <v>14.5</v>
                </pt>
                <pt idx="100">
                  <v>15</v>
                </pt>
                <pt idx="101">
                  <v>15.5</v>
                </pt>
                <pt idx="102">
                  <v>16</v>
                </pt>
                <pt idx="103">
                  <v>16.5</v>
                </pt>
                <pt idx="104">
                  <v>17</v>
                </pt>
                <pt idx="105">
                  <v>17.5</v>
                </pt>
                <pt idx="106">
                  <v>18</v>
                </pt>
                <pt idx="107">
                  <v>20.06823253734799</v>
                </pt>
                <pt idx="108">
                  <v>18.63430062345937</v>
                </pt>
                <pt idx="109">
                  <v>17.33682537285706</v>
                </pt>
                <pt idx="110">
                  <v>16.1628212171365</v>
                </pt>
                <pt idx="111">
                  <v>15.10053832811082</v>
                </pt>
                <pt idx="112">
                  <v>14.13934502158105</v>
                </pt>
                <pt idx="113">
                  <v>13.26962135186718</v>
                </pt>
                <pt idx="114">
                  <v>12.48266283215855</v>
                </pt>
                <pt idx="115">
                  <v>11.77059331708398</v>
                </pt>
                <pt idx="116">
                  <v>11.12628617560179</v>
                </pt>
                <pt idx="117">
                  <v>10.54329296528092</v>
                </pt>
                <pt idx="118">
                  <v>10.01577889412168</v>
                </pt>
                <pt idx="119">
                  <v>9.538464423996324</v>
                </pt>
                <pt idx="120">
                  <v>9.106572431256895</v>
                </pt>
                <pt idx="121">
                  <v>8.715780395676143</v>
                </pt>
                <pt idx="122">
                  <v>8.362177139212239</v>
                </pt>
                <pt idx="123">
                  <v>8.042223681624327</v>
                </pt>
                <pt idx="124">
                  <v>7.752717821168808</v>
                </pt>
                <pt idx="125">
                  <v>7.490762085887957</v>
                </pt>
                <pt idx="126">
                  <v>7.253734734736721</v>
                </pt>
                <pt idx="127">
                  <v>7.039263518317133</v>
                </pt>
                <pt idx="128">
                  <v>6.845201936609</v>
                </pt>
                <pt idx="129">
                  <v>6.66960775607624</v>
                </pt>
                <pt idx="130">
                  <v>6.510723571140837</v>
                </pt>
                <pt idx="131">
                  <v>6.366959215477141</v>
                </pt>
                <pt idx="132">
                  <v>6.236875847092797</v>
                </pt>
                <pt idx="133">
                  <v>6.119171547914485</v>
                </pt>
                <pt idx="134">
                  <v>6.012668293754251</v>
                </pt>
                <pt idx="135">
                  <v>5.916300164247478</v>
                </pt>
                <pt idx="136">
                  <v>5.829102674763614</v>
                </pt>
                <pt idx="137">
                  <v>5.750203123519817</v>
                </pt>
                <pt idx="138">
                  <v>5.678811857288181</v>
                </pt>
                <pt idx="139">
                  <v>5.614214368280833</v>
                </pt>
                <pt idx="140">
                  <v>5.555764143115817</v>
                </pt>
                <pt idx="141">
                  <v>5.502876192293884</v>
                </pt>
                <pt idx="142">
                  <v>5.455021195426952</v>
                </pt>
                <pt idx="143">
                  <v>5.411720203621758</v>
                </pt>
                <pt idx="144">
                  <v>5.372539845998352</v>
                </pt>
                <pt idx="145">
                  <v>5.337087992368663</v>
                </pt>
                <pt idx="146">
                  <v>5.305009828665787</v>
                </pt>
                <pt idx="147">
                  <v>5.275984305845541</v>
                </pt>
                <pt idx="148">
                  <v>5.249720926719725</v>
                </pt>
                <pt idx="149">
                  <v>5.225956838562624</v>
                </pt>
                <pt idx="150">
                  <v>5.204454202392572</v>
                </pt>
                <pt idx="151">
                  <v>5.184997812599497</v>
                </pt>
                <pt idx="152">
                  <v>5.167392943094829</v>
                </pt>
                <pt idx="153">
                  <v>5.151463398427365</v>
                </pt>
                <pt idx="154">
                  <v>5.137049750359969</v>
                </pt>
                <pt idx="155">
                  <v>5.124007742258187</v>
                </pt>
                <pt idx="156">
                  <v>5.112206845321367</v>
                </pt>
                <pt idx="157">
                  <v>5.101528952206546</v>
                </pt>
                <pt idx="158">
                  <v>5.091867194970467</v>
                </pt>
                <pt idx="159">
                  <v>5.083124875499283</v>
                </pt>
                <pt idx="160">
                  <v>5</v>
                </pt>
                <pt idx="161">
                  <v>5.500000000000007</v>
                </pt>
                <pt idx="162">
                  <v>5.999999999999996</v>
                </pt>
                <pt idx="163">
                  <v>6.500000000000004</v>
                </pt>
                <pt idx="164">
                  <v>6.999999999999993</v>
                </pt>
                <pt idx="165">
                  <v>7.5</v>
                </pt>
                <pt idx="166">
                  <v>8.000000000000007</v>
                </pt>
                <pt idx="167">
                  <v>8.499999999999996</v>
                </pt>
                <pt idx="168">
                  <v>9.000000000000004</v>
                </pt>
                <pt idx="169">
                  <v>9.499999999999993</v>
                </pt>
                <pt idx="170">
                  <v>10</v>
                </pt>
                <pt idx="171">
                  <v>10.50000000000001</v>
                </pt>
                <pt idx="172">
                  <v>11</v>
                </pt>
                <pt idx="173">
                  <v>11.5</v>
                </pt>
                <pt idx="174">
                  <v>11.99999999999999</v>
                </pt>
                <pt idx="175">
                  <v>12.5</v>
                </pt>
                <pt idx="176">
                  <v>13.00000000000001</v>
                </pt>
                <pt idx="177">
                  <v>13.5</v>
                </pt>
                <pt idx="178">
                  <v>14</v>
                </pt>
                <pt idx="179">
                  <v>14.49999999999999</v>
                </pt>
                <pt idx="180">
                  <v>15</v>
                </pt>
                <pt idx="181">
                  <v>15.50000000000001</v>
                </pt>
                <pt idx="182">
                  <v>16</v>
                </pt>
                <pt idx="183">
                  <v>16.5</v>
                </pt>
                <pt idx="184">
                  <v>16.99999999999999</v>
                </pt>
                <pt idx="185">
                  <v>17.5</v>
                </pt>
                <pt idx="186">
                  <v>18.00000000000001</v>
                </pt>
                <pt idx="187">
                  <v>20.06823253734799</v>
                </pt>
                <pt idx="188">
                  <v>18.63430062345937</v>
                </pt>
                <pt idx="189">
                  <v>17.33682537285708</v>
                </pt>
                <pt idx="190">
                  <v>16.1628212171365</v>
                </pt>
                <pt idx="191">
                  <v>15.1005383281108</v>
                </pt>
                <pt idx="192">
                  <v>14.13934502158105</v>
                </pt>
                <pt idx="193">
                  <v>13.26962135186718</v>
                </pt>
                <pt idx="194">
                  <v>12.48266283215856</v>
                </pt>
                <pt idx="195">
                  <v>11.77059331708398</v>
                </pt>
                <pt idx="196">
                  <v>11.12628617560178</v>
                </pt>
                <pt idx="197">
                  <v>10.54329296528092</v>
                </pt>
                <pt idx="198">
                  <v>10.01577889412168</v>
                </pt>
                <pt idx="199">
                  <v>9.538464423996334</v>
                </pt>
                <pt idx="200">
                  <v>9.106572431256895</v>
                </pt>
                <pt idx="201">
                  <v>8.715780395676136</v>
                </pt>
                <pt idx="202">
                  <v>8.362177139212239</v>
                </pt>
                <pt idx="203">
                  <v>8.042223681624327</v>
                </pt>
                <pt idx="204">
                  <v>7.752717821168812</v>
                </pt>
                <pt idx="205">
                  <v>7.490762085887957</v>
                </pt>
                <pt idx="206">
                  <v>7.253734734736717</v>
                </pt>
                <pt idx="207">
                  <v>7.039263518317133</v>
                </pt>
                <pt idx="208">
                  <v>6.845201936609</v>
                </pt>
                <pt idx="209">
                  <v>6.669607756076243</v>
                </pt>
                <pt idx="210">
                  <v>6.510723571140837</v>
                </pt>
                <pt idx="211">
                  <v>6.366959215477138</v>
                </pt>
                <pt idx="212">
                  <v>6.236875847092797</v>
                </pt>
                <pt idx="213">
                  <v>6.119171547914485</v>
                </pt>
                <pt idx="214">
                  <v>6.012668293754253</v>
                </pt>
                <pt idx="215">
                  <v>5.916300164247478</v>
                </pt>
                <pt idx="216">
                  <v>5.829102674763612</v>
                </pt>
                <pt idx="217">
                  <v>5.750203123519817</v>
                </pt>
                <pt idx="218">
                  <v>5.678811857288181</v>
                </pt>
                <pt idx="219">
                  <v>5.614214368280834</v>
                </pt>
                <pt idx="220">
                  <v>5.555764143115817</v>
                </pt>
                <pt idx="221">
                  <v>5.502876192293883</v>
                </pt>
                <pt idx="222">
                  <v>5.455021195426952</v>
                </pt>
                <pt idx="223">
                  <v>5.411720203621758</v>
                </pt>
                <pt idx="224">
                  <v>5.372539845998353</v>
                </pt>
                <pt idx="225">
                  <v>5.337087992368663</v>
                </pt>
                <pt idx="226">
                  <v>5.305009828665786</v>
                </pt>
                <pt idx="227">
                  <v>5.275984305845541</v>
                </pt>
                <pt idx="228">
                  <v>5.249720926719725</v>
                </pt>
                <pt idx="229">
                  <v>5.225956838562624</v>
                </pt>
                <pt idx="230">
                  <v>5.204454202392572</v>
                </pt>
                <pt idx="231">
                  <v>5.184997812599496</v>
                </pt>
                <pt idx="232">
                  <v>5.167392943094829</v>
                </pt>
                <pt idx="233">
                  <v>5.151463398427365</v>
                </pt>
                <pt idx="234">
                  <v>5.137049750359969</v>
                </pt>
                <pt idx="235">
                  <v>5.124007742258187</v>
                </pt>
                <pt idx="236">
                  <v>5.112206845321366</v>
                </pt>
                <pt idx="237">
                  <v>5.101528952206546</v>
                </pt>
                <pt idx="238">
                  <v>5.091867194970467</v>
                </pt>
                <pt idx="239">
                  <v>5.083124875499283</v>
                </pt>
              </numCache>
            </numRef>
          </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0"/>
        <axId val="100"/>
      </lineChart>
      <catAx>
        <axId val="10"/>
        <scaling>
          <orientation val="minMax"/>
        </scaling>
        <delete val="1"/>
        <axPos val="b"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Time (s)</a:t>
                </a:r>
              </a:p>
            </rich>
          </tx>
          <overlay val="1"/>
        </title>
        <numFmt formatCode="0.00" sourceLinked="0"/>
        <majorTickMark val="none"/>
        <minorTickMark val="none"/>
        <tickLblPos val="nextTo"/>
        <crossAx val="100"/>
        <crosses val="autoZero"/>
        <auto val="1"/>
        <lblAlgn val="ctr"/>
        <lblOffset val="100"/>
        <noMultiLvlLbl val="1"/>
      </catAx>
      <valAx>
        <axId val="10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between"/>
      </valAx>
    </plotArea>
    <plotVisOnly val="1"/>
    <dispBlanksAs val="gap"/>
  </chart>
</chartSpace>
</file>

<file path=xl/charts/chart8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P-V Loop (Paw) — VCV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ED7D3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VCV!$E$31:$E$110</f>
              <numCache>
                <formatCode>0.0</formatCode>
                <ptCount val="80"/>
                <pt idx="0">
                  <v>0</v>
                </pt>
                <pt idx="1">
                  <v>25</v>
                </pt>
                <pt idx="2">
                  <v>50</v>
                </pt>
                <pt idx="3">
                  <v>75</v>
                </pt>
                <pt idx="4">
                  <v>100</v>
                </pt>
                <pt idx="5">
                  <v>125</v>
                </pt>
                <pt idx="6">
                  <v>150</v>
                </pt>
                <pt idx="7">
                  <v>175</v>
                </pt>
                <pt idx="8">
                  <v>200</v>
                </pt>
                <pt idx="9">
                  <v>225</v>
                </pt>
                <pt idx="10">
                  <v>250</v>
                </pt>
                <pt idx="11">
                  <v>275</v>
                </pt>
                <pt idx="12">
                  <v>300</v>
                </pt>
                <pt idx="13">
                  <v>325</v>
                </pt>
                <pt idx="14">
                  <v>350</v>
                </pt>
                <pt idx="15">
                  <v>375</v>
                </pt>
                <pt idx="16">
                  <v>400</v>
                </pt>
                <pt idx="17">
                  <v>425</v>
                </pt>
                <pt idx="18">
                  <v>450</v>
                </pt>
                <pt idx="19">
                  <v>475</v>
                </pt>
                <pt idx="20">
                  <v>500</v>
                </pt>
                <pt idx="21">
                  <v>525</v>
                </pt>
                <pt idx="22">
                  <v>550</v>
                </pt>
                <pt idx="23">
                  <v>575</v>
                </pt>
                <pt idx="24">
                  <v>600</v>
                </pt>
                <pt idx="25">
                  <v>625</v>
                </pt>
                <pt idx="26">
                  <v>650</v>
                </pt>
                <pt idx="27">
                  <v>753.4116268673989</v>
                </pt>
                <pt idx="28">
                  <v>681.7150311729692</v>
                </pt>
                <pt idx="29">
                  <v>616.8412686428533</v>
                </pt>
                <pt idx="30">
                  <v>558.1410608568249</v>
                </pt>
                <pt idx="31">
                  <v>505.0269164055408</v>
                </pt>
                <pt idx="32">
                  <v>456.9672510790519</v>
                </pt>
                <pt idx="33">
                  <v>413.4810675933596</v>
                </pt>
                <pt idx="34">
                  <v>374.1331416079275</v>
                </pt>
                <pt idx="35">
                  <v>338.5296658541992</v>
                </pt>
                <pt idx="36">
                  <v>306.3143087800897</v>
                </pt>
                <pt idx="37">
                  <v>277.1646482640459</v>
                </pt>
                <pt idx="38">
                  <v>250.7889447060843</v>
                </pt>
                <pt idx="39">
                  <v>226.9232211998164</v>
                </pt>
                <pt idx="40">
                  <v>205.3286215628448</v>
                </pt>
                <pt idx="41">
                  <v>185.7890197838072</v>
                </pt>
                <pt idx="42">
                  <v>168.1088569606118</v>
                </pt>
                <pt idx="43">
                  <v>152.1111840812165</v>
                </pt>
                <pt idx="44">
                  <v>137.6358910584404</v>
                </pt>
                <pt idx="45">
                  <v>124.5381042943979</v>
                </pt>
                <pt idx="46">
                  <v>112.6867367368361</v>
                </pt>
                <pt idx="47">
                  <v>101.9631759158566</v>
                </pt>
                <pt idx="48">
                  <v>92.26009683045005</v>
                </pt>
                <pt idx="49">
                  <v>83.48038780381201</v>
                </pt>
                <pt idx="50">
                  <v>75.53617855704188</v>
                </pt>
                <pt idx="51">
                  <v>68.34796077385703</v>
                </pt>
                <pt idx="52">
                  <v>61.8437923546398</v>
                </pt>
                <pt idx="53">
                  <v>55.95857739572431</v>
                </pt>
                <pt idx="54">
                  <v>50.63341468771257</v>
                </pt>
                <pt idx="55">
                  <v>45.81500821237389</v>
                </pt>
                <pt idx="56">
                  <v>41.45513373818069</v>
                </pt>
                <pt idx="57">
                  <v>37.51015617599079</v>
                </pt>
                <pt idx="58">
                  <v>33.94059286440912</v>
                </pt>
                <pt idx="59">
                  <v>30.71071841404165</v>
                </pt>
                <pt idx="60">
                  <v>27.78820715579085</v>
                </pt>
                <pt idx="61">
                  <v>25.14380961469418</v>
                </pt>
                <pt idx="62">
                  <v>22.75105977134761</v>
                </pt>
                <pt idx="63">
                  <v>20.58601018108796</v>
                </pt>
                <pt idx="64">
                  <v>18.6269922999176</v>
                </pt>
                <pt idx="65">
                  <v>16.85439961843315</v>
                </pt>
                <pt idx="66">
                  <v>15.25049143328932</v>
                </pt>
                <pt idx="67">
                  <v>13.79921529227701</v>
                </pt>
                <pt idx="68">
                  <v>12.48604633598627</v>
                </pt>
                <pt idx="69">
                  <v>11.29784192813117</v>
                </pt>
                <pt idx="70">
                  <v>10.22271011962862</v>
                </pt>
                <pt idx="71">
                  <v>9.249890629974837</v>
                </pt>
                <pt idx="72">
                  <v>8.369647154741436</v>
                </pt>
                <pt idx="73">
                  <v>7.573169921368259</v>
                </pt>
                <pt idx="74">
                  <v>6.852487517998449</v>
                </pt>
                <pt idx="75">
                  <v>6.200387112909359</v>
                </pt>
                <pt idx="76">
                  <v>5.610342266068345</v>
                </pt>
                <pt idx="77">
                  <v>5.076447610327288</v>
                </pt>
                <pt idx="78">
                  <v>4.593359748523362</v>
                </pt>
                <pt idx="79">
                  <v>4.156243774964185</v>
                </pt>
              </numCache>
            </numRef>
          </xVal>
          <yVal>
            <numRef>
              <f>VCV!$C$31:$C$110</f>
              <numCache>
                <formatCode>0.000</formatCode>
                <ptCount val="80"/>
                <pt idx="0">
                  <v>10</v>
                </pt>
                <pt idx="1">
                  <v>10.5</v>
                </pt>
                <pt idx="2">
                  <v>11</v>
                </pt>
                <pt idx="3">
                  <v>11.5</v>
                </pt>
                <pt idx="4">
                  <v>12</v>
                </pt>
                <pt idx="5">
                  <v>12.5</v>
                </pt>
                <pt idx="6">
                  <v>13</v>
                </pt>
                <pt idx="7">
                  <v>13.5</v>
                </pt>
                <pt idx="8">
                  <v>14</v>
                </pt>
                <pt idx="9">
                  <v>14.5</v>
                </pt>
                <pt idx="10">
                  <v>15</v>
                </pt>
                <pt idx="11">
                  <v>15.5</v>
                </pt>
                <pt idx="12">
                  <v>16</v>
                </pt>
                <pt idx="13">
                  <v>16.5</v>
                </pt>
                <pt idx="14">
                  <v>17</v>
                </pt>
                <pt idx="15">
                  <v>17.5</v>
                </pt>
                <pt idx="16">
                  <v>18</v>
                </pt>
                <pt idx="17">
                  <v>18.5</v>
                </pt>
                <pt idx="18">
                  <v>19</v>
                </pt>
                <pt idx="19">
                  <v>19.5</v>
                </pt>
                <pt idx="20">
                  <v>20</v>
                </pt>
                <pt idx="21">
                  <v>20.5</v>
                </pt>
                <pt idx="22">
                  <v>21</v>
                </pt>
                <pt idx="23">
                  <v>21.5</v>
                </pt>
                <pt idx="24">
                  <v>22</v>
                </pt>
                <pt idx="25">
                  <v>22.5</v>
                </pt>
                <pt idx="26">
                  <v>23</v>
                </pt>
                <pt idx="27">
                  <v>20.06823253734798</v>
                </pt>
                <pt idx="28">
                  <v>18.63430062345939</v>
                </pt>
                <pt idx="29">
                  <v>17.33682537285706</v>
                </pt>
                <pt idx="30">
                  <v>16.1628212171365</v>
                </pt>
                <pt idx="31">
                  <v>15.10053832811082</v>
                </pt>
                <pt idx="32">
                  <v>14.13934502158104</v>
                </pt>
                <pt idx="33">
                  <v>13.26962135186719</v>
                </pt>
                <pt idx="34">
                  <v>12.48266283215855</v>
                </pt>
                <pt idx="35">
                  <v>11.77059331708398</v>
                </pt>
                <pt idx="36">
                  <v>11.12628617560179</v>
                </pt>
                <pt idx="37">
                  <v>10.54329296528092</v>
                </pt>
                <pt idx="38">
                  <v>10.01577889412169</v>
                </pt>
                <pt idx="39">
                  <v>9.538464423996327</v>
                </pt>
                <pt idx="40">
                  <v>9.106572431256895</v>
                </pt>
                <pt idx="41">
                  <v>8.715780395676143</v>
                </pt>
                <pt idx="42">
                  <v>8.362177139212235</v>
                </pt>
                <pt idx="43">
                  <v>8.04222368162433</v>
                </pt>
                <pt idx="44">
                  <v>7.752717821168808</v>
                </pt>
                <pt idx="45">
                  <v>7.490762085887957</v>
                </pt>
                <pt idx="46">
                  <v>7.253734734736721</v>
                </pt>
                <pt idx="47">
                  <v>7.039263518317131</v>
                </pt>
                <pt idx="48">
                  <v>6.845201936609001</v>
                </pt>
                <pt idx="49">
                  <v>6.66960775607624</v>
                </pt>
                <pt idx="50">
                  <v>6.510723571140837</v>
                </pt>
                <pt idx="51">
                  <v>6.366959215477141</v>
                </pt>
                <pt idx="52">
                  <v>6.236875847092795</v>
                </pt>
                <pt idx="53">
                  <v>6.119171547914486</v>
                </pt>
                <pt idx="54">
                  <v>6.012668293754251</v>
                </pt>
                <pt idx="55">
                  <v>5.916300164247478</v>
                </pt>
                <pt idx="56">
                  <v>5.829102674763614</v>
                </pt>
                <pt idx="57">
                  <v>5.750203123519816</v>
                </pt>
                <pt idx="58">
                  <v>5.678811857288182</v>
                </pt>
                <pt idx="59">
                  <v>5.614214368280833</v>
                </pt>
                <pt idx="60">
                  <v>5.555764143115817</v>
                </pt>
                <pt idx="61">
                  <v>5.502876192293884</v>
                </pt>
                <pt idx="62">
                  <v>5.455021195426952</v>
                </pt>
                <pt idx="63">
                  <v>5.411720203621759</v>
                </pt>
                <pt idx="64">
                  <v>5.372539845998352</v>
                </pt>
                <pt idx="65">
                  <v>5.337087992368663</v>
                </pt>
                <pt idx="66">
                  <v>5.305009828665787</v>
                </pt>
                <pt idx="67">
                  <v>5.27598430584554</v>
                </pt>
                <pt idx="68">
                  <v>5.249720926719725</v>
                </pt>
                <pt idx="69">
                  <v>5.225956838562624</v>
                </pt>
                <pt idx="70">
                  <v>5.204454202392572</v>
                </pt>
                <pt idx="71">
                  <v>5.184997812599497</v>
                </pt>
                <pt idx="72">
                  <v>5.167392943094828</v>
                </pt>
                <pt idx="73">
                  <v>5.151463398427365</v>
                </pt>
                <pt idx="74">
                  <v>5.137049750359969</v>
                </pt>
                <pt idx="75">
                  <v>5.124007742258187</v>
                </pt>
                <pt idx="76">
                  <v>5.112206845321367</v>
                </pt>
                <pt idx="77">
                  <v>5.101528952206546</v>
                </pt>
                <pt idx="78">
                  <v>5.091867194970467</v>
                </pt>
                <pt idx="79">
                  <v>5.083124875499283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charts/chart9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pPr>
              <a:defRPr/>
            </a:pPr>
            <a:r>
              <a:rPr lang="en-US"/>
              <a:t>Transpulmonary P-V Loop — VCV</a:t>
            </a:r>
          </a:p>
        </rich>
      </tx>
      <overlay val="1"/>
    </title>
    <plotArea>
      <layout/>
      <scatterChart>
        <scatterStyle val="lineMarker"/>
        <varyColors val="1"/>
        <ser>
          <idx val="0"/>
          <order val="0"/>
          <spPr>
            <a:ln xmlns:a="http://schemas.openxmlformats.org/drawingml/2006/main" w="20000">
              <a:solidFill>
                <a:srgbClr val="00B0F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xVal>
            <numRef>
              <f>VCV!$E$31:$E$110</f>
              <numCache>
                <formatCode>0.0</formatCode>
                <ptCount val="80"/>
                <pt idx="0">
                  <v>0</v>
                </pt>
                <pt idx="1">
                  <v>25</v>
                </pt>
                <pt idx="2">
                  <v>50</v>
                </pt>
                <pt idx="3">
                  <v>75</v>
                </pt>
                <pt idx="4">
                  <v>100</v>
                </pt>
                <pt idx="5">
                  <v>125</v>
                </pt>
                <pt idx="6">
                  <v>150</v>
                </pt>
                <pt idx="7">
                  <v>175</v>
                </pt>
                <pt idx="8">
                  <v>200</v>
                </pt>
                <pt idx="9">
                  <v>225</v>
                </pt>
                <pt idx="10">
                  <v>250</v>
                </pt>
                <pt idx="11">
                  <v>275</v>
                </pt>
                <pt idx="12">
                  <v>300</v>
                </pt>
                <pt idx="13">
                  <v>325</v>
                </pt>
                <pt idx="14">
                  <v>350</v>
                </pt>
                <pt idx="15">
                  <v>375</v>
                </pt>
                <pt idx="16">
                  <v>400</v>
                </pt>
                <pt idx="17">
                  <v>425</v>
                </pt>
                <pt idx="18">
                  <v>450</v>
                </pt>
                <pt idx="19">
                  <v>475</v>
                </pt>
                <pt idx="20">
                  <v>500</v>
                </pt>
                <pt idx="21">
                  <v>525</v>
                </pt>
                <pt idx="22">
                  <v>550</v>
                </pt>
                <pt idx="23">
                  <v>575</v>
                </pt>
                <pt idx="24">
                  <v>600</v>
                </pt>
                <pt idx="25">
                  <v>625</v>
                </pt>
                <pt idx="26">
                  <v>650</v>
                </pt>
                <pt idx="27">
                  <v>753.4116268673989</v>
                </pt>
                <pt idx="28">
                  <v>681.7150311729692</v>
                </pt>
                <pt idx="29">
                  <v>616.8412686428533</v>
                </pt>
                <pt idx="30">
                  <v>558.1410608568249</v>
                </pt>
                <pt idx="31">
                  <v>505.0269164055408</v>
                </pt>
                <pt idx="32">
                  <v>456.9672510790519</v>
                </pt>
                <pt idx="33">
                  <v>413.4810675933596</v>
                </pt>
                <pt idx="34">
                  <v>374.1331416079275</v>
                </pt>
                <pt idx="35">
                  <v>338.5296658541992</v>
                </pt>
                <pt idx="36">
                  <v>306.3143087800897</v>
                </pt>
                <pt idx="37">
                  <v>277.1646482640459</v>
                </pt>
                <pt idx="38">
                  <v>250.7889447060843</v>
                </pt>
                <pt idx="39">
                  <v>226.9232211998164</v>
                </pt>
                <pt idx="40">
                  <v>205.3286215628448</v>
                </pt>
                <pt idx="41">
                  <v>185.7890197838072</v>
                </pt>
                <pt idx="42">
                  <v>168.1088569606118</v>
                </pt>
                <pt idx="43">
                  <v>152.1111840812165</v>
                </pt>
                <pt idx="44">
                  <v>137.6358910584404</v>
                </pt>
                <pt idx="45">
                  <v>124.5381042943979</v>
                </pt>
                <pt idx="46">
                  <v>112.6867367368361</v>
                </pt>
                <pt idx="47">
                  <v>101.9631759158566</v>
                </pt>
                <pt idx="48">
                  <v>92.26009683045005</v>
                </pt>
                <pt idx="49">
                  <v>83.48038780381201</v>
                </pt>
                <pt idx="50">
                  <v>75.53617855704188</v>
                </pt>
                <pt idx="51">
                  <v>68.34796077385703</v>
                </pt>
                <pt idx="52">
                  <v>61.8437923546398</v>
                </pt>
                <pt idx="53">
                  <v>55.95857739572431</v>
                </pt>
                <pt idx="54">
                  <v>50.63341468771257</v>
                </pt>
                <pt idx="55">
                  <v>45.81500821237389</v>
                </pt>
                <pt idx="56">
                  <v>41.45513373818069</v>
                </pt>
                <pt idx="57">
                  <v>37.51015617599079</v>
                </pt>
                <pt idx="58">
                  <v>33.94059286440912</v>
                </pt>
                <pt idx="59">
                  <v>30.71071841404165</v>
                </pt>
                <pt idx="60">
                  <v>27.78820715579085</v>
                </pt>
                <pt idx="61">
                  <v>25.14380961469418</v>
                </pt>
                <pt idx="62">
                  <v>22.75105977134761</v>
                </pt>
                <pt idx="63">
                  <v>20.58601018108796</v>
                </pt>
                <pt idx="64">
                  <v>18.6269922999176</v>
                </pt>
                <pt idx="65">
                  <v>16.85439961843315</v>
                </pt>
                <pt idx="66">
                  <v>15.25049143328932</v>
                </pt>
                <pt idx="67">
                  <v>13.79921529227701</v>
                </pt>
                <pt idx="68">
                  <v>12.48604633598627</v>
                </pt>
                <pt idx="69">
                  <v>11.29784192813117</v>
                </pt>
                <pt idx="70">
                  <v>10.22271011962862</v>
                </pt>
                <pt idx="71">
                  <v>9.249890629974837</v>
                </pt>
                <pt idx="72">
                  <v>8.369647154741436</v>
                </pt>
                <pt idx="73">
                  <v>7.573169921368259</v>
                </pt>
                <pt idx="74">
                  <v>6.852487517998449</v>
                </pt>
                <pt idx="75">
                  <v>6.200387112909359</v>
                </pt>
                <pt idx="76">
                  <v>5.610342266068345</v>
                </pt>
                <pt idx="77">
                  <v>5.076447610327288</v>
                </pt>
                <pt idx="78">
                  <v>4.593359748523362</v>
                </pt>
                <pt idx="79">
                  <v>4.156243774964185</v>
                </pt>
              </numCache>
            </numRef>
          </xVal>
          <yVal>
            <numRef>
              <f>VCV!$H$31:$H$110</f>
              <numCache>
                <formatCode>0.000</formatCode>
                <ptCount val="80"/>
                <pt idx="0">
                  <v>6</v>
                </pt>
                <pt idx="1">
                  <v>6.375</v>
                </pt>
                <pt idx="2">
                  <v>6.75</v>
                </pt>
                <pt idx="3">
                  <v>7.125</v>
                </pt>
                <pt idx="4">
                  <v>7.5</v>
                </pt>
                <pt idx="5">
                  <v>7.875</v>
                </pt>
                <pt idx="6">
                  <v>8.25</v>
                </pt>
                <pt idx="7">
                  <v>8.625</v>
                </pt>
                <pt idx="8">
                  <v>9</v>
                </pt>
                <pt idx="9">
                  <v>9.375</v>
                </pt>
                <pt idx="10">
                  <v>9.75</v>
                </pt>
                <pt idx="11">
                  <v>10.125</v>
                </pt>
                <pt idx="12">
                  <v>10.5</v>
                </pt>
                <pt idx="13">
                  <v>10.875</v>
                </pt>
                <pt idx="14">
                  <v>11.25</v>
                </pt>
                <pt idx="15">
                  <v>11.625</v>
                </pt>
                <pt idx="16">
                  <v>12</v>
                </pt>
                <pt idx="17">
                  <v>12.375</v>
                </pt>
                <pt idx="18">
                  <v>12.75</v>
                </pt>
                <pt idx="19">
                  <v>13.125</v>
                </pt>
                <pt idx="20">
                  <v>13.5</v>
                </pt>
                <pt idx="21">
                  <v>13.875</v>
                </pt>
                <pt idx="22">
                  <v>14.25</v>
                </pt>
                <pt idx="23">
                  <v>14.625</v>
                </pt>
                <pt idx="24">
                  <v>15</v>
                </pt>
                <pt idx="25">
                  <v>15.375</v>
                </pt>
                <pt idx="26">
                  <v>15.75</v>
                </pt>
                <pt idx="27">
                  <v>12.30117440301098</v>
                </pt>
                <pt idx="28">
                  <v>11.22572546759454</v>
                </pt>
                <pt idx="29">
                  <v>10.2526190296428</v>
                </pt>
                <pt idx="30">
                  <v>9.372115912852372</v>
                </pt>
                <pt idx="31">
                  <v>8.575403746083111</v>
                </pt>
                <pt idx="32">
                  <v>7.854508766185779</v>
                </pt>
                <pt idx="33">
                  <v>7.202216013900393</v>
                </pt>
                <pt idx="34">
                  <v>6.611997124118912</v>
                </pt>
                <pt idx="35">
                  <v>6.077944987812987</v>
                </pt>
                <pt idx="36">
                  <v>5.594714631701346</v>
                </pt>
                <pt idx="37">
                  <v>5.157469723960688</v>
                </pt>
                <pt idx="38">
                  <v>4.761834170591264</v>
                </pt>
                <pt idx="39">
                  <v>4.403848317997245</v>
                </pt>
                <pt idx="40">
                  <v>4.079929323442672</v>
                </pt>
                <pt idx="41">
                  <v>3.786835296757108</v>
                </pt>
                <pt idx="42">
                  <v>3.521632854409177</v>
                </pt>
                <pt idx="43">
                  <v>3.281667761218248</v>
                </pt>
                <pt idx="44">
                  <v>3.064538365876606</v>
                </pt>
                <pt idx="45">
                  <v>2.868071564415968</v>
                </pt>
                <pt idx="46">
                  <v>2.690301051052541</v>
                </pt>
                <pt idx="47">
                  <v>2.529447638737849</v>
                </pt>
                <pt idx="48">
                  <v>2.383901452456751</v>
                </pt>
                <pt idx="49">
                  <v>2.25220581705718</v>
                </pt>
                <pt idx="50">
                  <v>2.133042678355628</v>
                </pt>
                <pt idx="51">
                  <v>2.025219411607855</v>
                </pt>
                <pt idx="52">
                  <v>1.927656885319596</v>
                </pt>
                <pt idx="53">
                  <v>1.839378660935864</v>
                </pt>
                <pt idx="54">
                  <v>1.759501220315688</v>
                </pt>
                <pt idx="55">
                  <v>1.687225123185608</v>
                </pt>
                <pt idx="56">
                  <v>1.62182700607271</v>
                </pt>
                <pt idx="57">
                  <v>1.562652342639861</v>
                </pt>
                <pt idx="58">
                  <v>1.509108892966137</v>
                </pt>
                <pt idx="59">
                  <v>1.460660776210625</v>
                </pt>
                <pt idx="60">
                  <v>1.416823107336863</v>
                </pt>
                <pt idx="61">
                  <v>1.377157144220413</v>
                </pt>
                <pt idx="62">
                  <v>1.341265896570214</v>
                </pt>
                <pt idx="63">
                  <v>1.30879015271632</v>
                </pt>
                <pt idx="64">
                  <v>1.279404884498764</v>
                </pt>
                <pt idx="65">
                  <v>1.252815994276498</v>
                </pt>
                <pt idx="66">
                  <v>1.228757371499341</v>
                </pt>
                <pt idx="67">
                  <v>1.206988229384155</v>
                </pt>
                <pt idx="68">
                  <v>1.187290695039794</v>
                </pt>
                <pt idx="69">
                  <v>1.169467628921968</v>
                </pt>
                <pt idx="70">
                  <v>1.153340651794429</v>
                </pt>
                <pt idx="71">
                  <v>1.138748359449623</v>
                </pt>
                <pt idx="72">
                  <v>1.125544707321121</v>
                </pt>
                <pt idx="73">
                  <v>1.113597548820525</v>
                </pt>
                <pt idx="74">
                  <v>1.102787312769977</v>
                </pt>
                <pt idx="75">
                  <v>1.093005806693641</v>
                </pt>
                <pt idx="76">
                  <v>1.084155133991025</v>
                </pt>
                <pt idx="77">
                  <v>1.076146714154909</v>
                </pt>
                <pt idx="78">
                  <v>1.06890039622785</v>
                </pt>
                <pt idx="79">
                  <v>1.062343656624463</v>
                </pt>
              </numCache>
            </numRef>
          </yVal>
          <smooth val="1"/>
        </ser>
        <dLbls>
          <showLegendKey val="0"/>
          <showVal val="0"/>
          <showCatName val="0"/>
          <showSerName val="0"/>
          <showPercent val="0"/>
          <showBubbleSize val="0"/>
        </dLbls>
        <axId val="10"/>
        <axId val="20"/>
      </scatterChart>
      <valAx>
        <axId val="10"/>
        <scaling>
          <orientation val="minMax"/>
        </scaling>
        <delete val="1"/>
        <axPos val="b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Volume (mL)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20"/>
        <crosses val="autoZero"/>
        <crossBetween val="midCat"/>
      </valAx>
      <valAx>
        <axId val="20"/>
        <scaling>
          <orientation val="minMax"/>
        </scaling>
        <delete val="1"/>
        <axPos val="l"/>
        <majorGridlines/>
        <title>
          <tx>
            <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pPr>
                  <a:defRPr/>
                </a:pPr>
                <a:r>
                  <a:rPr lang="en-US"/>
                  <a:t>Pressure (cmH2O)</a:t>
                </a:r>
              </a:p>
            </rich>
          </tx>
          <overlay val="1"/>
        </title>
        <numFmt formatCode="0.0" sourceLinked="0"/>
        <majorTickMark val="none"/>
        <minorTickMark val="none"/>
        <tickLblPos val="nextTo"/>
        <crossAx val="10"/>
        <crosses val="autoZero"/>
        <crossBetween val="midCat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image" Target="/xl/media/image1.gif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Relationship Type="http://schemas.openxmlformats.org/officeDocument/2006/relationships/chart" Target="/xl/charts/chart5.xml" Id="rId5"/><Relationship Type="http://schemas.openxmlformats.org/officeDocument/2006/relationships/chart" Target="/xl/charts/chart6.xml" Id="rId6"/><Relationship Type="http://schemas.openxmlformats.org/officeDocument/2006/relationships/chart" Target="/xl/charts/chart7.xml" Id="rId7"/><Relationship Type="http://schemas.openxmlformats.org/officeDocument/2006/relationships/chart" Target="/xl/charts/chart8.xml" Id="rId8"/><Relationship Type="http://schemas.openxmlformats.org/officeDocument/2006/relationships/chart" Target="/xl/charts/chart9.xml" Id="rId9"/><Relationship Type="http://schemas.openxmlformats.org/officeDocument/2006/relationships/image" Target="/xl/media/image2.png" Id="rId10"/></Relationships>
</file>

<file path=xl/drawings/_rels/drawing3.xml.rels><Relationships xmlns="http://schemas.openxmlformats.org/package/2006/relationships"><Relationship Type="http://schemas.openxmlformats.org/officeDocument/2006/relationships/chart" Target="/xl/charts/chart10.xml" Id="rId1"/><Relationship Type="http://schemas.openxmlformats.org/officeDocument/2006/relationships/chart" Target="/xl/charts/chart11.xml" Id="rId2"/><Relationship Type="http://schemas.openxmlformats.org/officeDocument/2006/relationships/chart" Target="/xl/charts/chart12.xml" Id="rId3"/><Relationship Type="http://schemas.openxmlformats.org/officeDocument/2006/relationships/chart" Target="/xl/charts/chart13.xml" Id="rId4"/><Relationship Type="http://schemas.openxmlformats.org/officeDocument/2006/relationships/chart" Target="/xl/charts/chart14.xml" Id="rId5"/><Relationship Type="http://schemas.openxmlformats.org/officeDocument/2006/relationships/chart" Target="/xl/charts/chart15.xml" Id="rId6"/><Relationship Type="http://schemas.openxmlformats.org/officeDocument/2006/relationships/chart" Target="/xl/charts/chart16.xml" Id="rId7"/><Relationship Type="http://schemas.openxmlformats.org/officeDocument/2006/relationships/chart" Target="/xl/charts/chart17.xml" Id="rId8"/><Relationship Type="http://schemas.openxmlformats.org/officeDocument/2006/relationships/chart" Target="/xl/charts/chart18.xml" Id="rId9"/><Relationship Type="http://schemas.openxmlformats.org/officeDocument/2006/relationships/image" Target="/xl/media/image3.png" Id="rId10"/></Relationships>
</file>

<file path=xl/drawings/_rels/drawing4.xml.rels><Relationships xmlns="http://schemas.openxmlformats.org/package/2006/relationships"><Relationship Type="http://schemas.openxmlformats.org/officeDocument/2006/relationships/chart" Target="/xl/charts/chart19.xml" Id="rId1"/><Relationship Type="http://schemas.openxmlformats.org/officeDocument/2006/relationships/chart" Target="/xl/charts/chart20.xml" Id="rId2"/><Relationship Type="http://schemas.openxmlformats.org/officeDocument/2006/relationships/chart" Target="/xl/charts/chart21.xml" Id="rId3"/><Relationship Type="http://schemas.openxmlformats.org/officeDocument/2006/relationships/chart" Target="/xl/charts/chart22.xml" Id="rId4"/><Relationship Type="http://schemas.openxmlformats.org/officeDocument/2006/relationships/chart" Target="/xl/charts/chart23.xml" Id="rId5"/><Relationship Type="http://schemas.openxmlformats.org/officeDocument/2006/relationships/chart" Target="/xl/charts/chart24.xml" Id="rId6"/><Relationship Type="http://schemas.openxmlformats.org/officeDocument/2006/relationships/chart" Target="/xl/charts/chart25.xml" Id="rId7"/><Relationship Type="http://schemas.openxmlformats.org/officeDocument/2006/relationships/chart" Target="/xl/charts/chart26.xml" Id="rId8"/><Relationship Type="http://schemas.openxmlformats.org/officeDocument/2006/relationships/chart" Target="/xl/charts/chart27.xml" Id="rId9"/><Relationship Type="http://schemas.openxmlformats.org/officeDocument/2006/relationships/image" Target="/xl/media/image4.png" Id="rId10"/></Relationships>
</file>

<file path=xl/drawings/_rels/drawing5.xml.rels><Relationships xmlns="http://schemas.openxmlformats.org/package/2006/relationships"><Relationship Type="http://schemas.openxmlformats.org/officeDocument/2006/relationships/chart" Target="/xl/charts/chart28.xml" Id="rId1"/><Relationship Type="http://schemas.openxmlformats.org/officeDocument/2006/relationships/chart" Target="/xl/charts/chart29.xml" Id="rId2"/><Relationship Type="http://schemas.openxmlformats.org/officeDocument/2006/relationships/chart" Target="/xl/charts/chart30.xml" Id="rId3"/><Relationship Type="http://schemas.openxmlformats.org/officeDocument/2006/relationships/chart" Target="/xl/charts/chart31.xml" Id="rId4"/><Relationship Type="http://schemas.openxmlformats.org/officeDocument/2006/relationships/chart" Target="/xl/charts/chart32.xml" Id="rId5"/><Relationship Type="http://schemas.openxmlformats.org/officeDocument/2006/relationships/chart" Target="/xl/charts/chart33.xml" Id="rId6"/><Relationship Type="http://schemas.openxmlformats.org/officeDocument/2006/relationships/chart" Target="/xl/charts/chart34.xml" Id="rId7"/><Relationship Type="http://schemas.openxmlformats.org/officeDocument/2006/relationships/chart" Target="/xl/charts/chart35.xml" Id="rId8"/><Relationship Type="http://schemas.openxmlformats.org/officeDocument/2006/relationships/chart" Target="/xl/charts/chart36.xml" Id="rId9"/><Relationship Type="http://schemas.openxmlformats.org/officeDocument/2006/relationships/image" Target="/xl/media/image5.png" Id="rId10"/></Relationships>
</file>

<file path=xl/drawings/_rels/drawing6.xml.rels><Relationships xmlns="http://schemas.openxmlformats.org/package/2006/relationships"><Relationship Type="http://schemas.openxmlformats.org/officeDocument/2006/relationships/chart" Target="/xl/charts/chart37.xml" Id="rId1"/><Relationship Type="http://schemas.openxmlformats.org/officeDocument/2006/relationships/chart" Target="/xl/charts/chart38.xml" Id="rId2"/><Relationship Type="http://schemas.openxmlformats.org/officeDocument/2006/relationships/chart" Target="/xl/charts/chart39.xml" Id="rId3"/><Relationship Type="http://schemas.openxmlformats.org/officeDocument/2006/relationships/chart" Target="/xl/charts/chart40.xml" Id="rId4"/></Relationships>
</file>

<file path=xl/drawings/_rels/drawing7.xml.rels><Relationships xmlns="http://schemas.openxmlformats.org/package/2006/relationships"><Relationship Type="http://schemas.openxmlformats.org/officeDocument/2006/relationships/image" Target="/xl/media/image6.png" Id="rId1"/></Relationships>
</file>

<file path=xl/drawings/_rels/drawing8.xml.rels><Relationships xmlns="http://schemas.openxmlformats.org/package/2006/relationships"><Relationship Type="http://schemas.openxmlformats.org/officeDocument/2006/relationships/image" Target="/xl/media/image7.png" Id="rId1"/></Relationships>
</file>

<file path=xl/drawings/drawing1.xml><?xml version="1.0" encoding="utf-8"?>
<wsDr xmlns="http://schemas.openxmlformats.org/drawingml/2006/spreadsheetDrawing">
  <twoCellAnchor editAs="oneCell">
    <from>
      <col>4</col>
      <colOff>123825</colOff>
      <row>0</row>
      <rowOff>18529</rowOff>
    </from>
    <to>
      <col>8</col>
      <colOff>180975</colOff>
      <row>5</row>
      <rowOff>228600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5991225" y="18529"/>
          <a:ext cx="2495550" cy="1686446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2.xml><?xml version="1.0" encoding="utf-8"?>
<wsDr xmlns="http://schemas.openxmlformats.org/drawingml/2006/spreadsheetDrawing">
  <twoCellAnchor editAs="oneCell">
    <from>
      <col>5</col>
      <colOff>85725</colOff>
      <row>2</row>
      <rowOff>28575</rowOff>
    </from>
    <to>
      <col>7</col>
      <colOff>979005</colOff>
      <row>8</row>
      <rowOff>231413</rowOff>
    </to>
    <pic>
      <nvPicPr>
        <cNvPr id="12" name="Picture 1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6753225" y="609600"/>
          <a:ext cx="2493480" cy="16887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9</col>
      <colOff>152400</colOff>
      <row>2</row>
      <rowOff>66675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152400</colOff>
      <row>20</row>
      <rowOff>66675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142875</colOff>
      <row>43</row>
      <rowOff>0</rowOff>
    </from>
    <ext cx="86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209550</colOff>
      <row>70</row>
      <rowOff>133350</rowOff>
    </from>
    <ext cx="8640000" cy="432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9</col>
      <colOff>209550</colOff>
      <row>98</row>
      <rowOff>57150</rowOff>
    </from>
    <ext cx="8640000" cy="432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9</col>
      <colOff>247650</colOff>
      <row>125</row>
      <rowOff>85725</rowOff>
    </from>
    <ext cx="8640000" cy="432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9</col>
      <colOff>285750</colOff>
      <row>152</row>
      <rowOff>133350</rowOff>
    </from>
    <ext cx="8640000" cy="432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9</col>
      <colOff>352425</colOff>
      <row>180</row>
      <rowOff>47625</rowOff>
    </from>
    <ext cx="8640000" cy="432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9</col>
      <colOff>361950</colOff>
      <row>207</row>
      <rowOff>104775</rowOff>
    </from>
    <ext cx="8640000" cy="432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</wsDr>
</file>

<file path=xl/drawings/drawing3.xml><?xml version="1.0" encoding="utf-8"?>
<wsDr xmlns="http://schemas.openxmlformats.org/drawingml/2006/spreadsheetDrawing">
  <twoCellAnchor editAs="oneCell">
    <from>
      <col>6</col>
      <colOff>0</colOff>
      <row>2</row>
      <rowOff>0</rowOff>
    </from>
    <to>
      <col>7</col>
      <colOff>1026630</colOff>
      <row>8</row>
      <rowOff>202838</rowOff>
    </to>
    <pic>
      <nvPicPr>
        <cNvPr id="11" name="Picture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6800850" y="581025"/>
          <a:ext cx="2493480" cy="16887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9</col>
      <colOff>95250</colOff>
      <row>2</row>
      <rowOff>57150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152400</colOff>
      <row>20</row>
      <rowOff>57150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133350</colOff>
      <row>44</row>
      <rowOff>66675</rowOff>
    </from>
    <ext cx="86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142875</colOff>
      <row>71</row>
      <rowOff>114300</rowOff>
    </from>
    <ext cx="8640000" cy="432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9</col>
      <colOff>123825</colOff>
      <row>99</row>
      <rowOff>9525</rowOff>
    </from>
    <ext cx="8640000" cy="432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9</col>
      <colOff>104775</colOff>
      <row>126</row>
      <rowOff>57150</rowOff>
    </from>
    <ext cx="8640000" cy="432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9</col>
      <colOff>142875</colOff>
      <row>153</row>
      <rowOff>133350</rowOff>
    </from>
    <ext cx="8640000" cy="432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9</col>
      <colOff>133350</colOff>
      <row>181</row>
      <rowOff>66675</rowOff>
    </from>
    <ext cx="8640000" cy="432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9</col>
      <colOff>123825</colOff>
      <row>209</row>
      <rowOff>0</rowOff>
    </from>
    <ext cx="8640000" cy="432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</wsDr>
</file>

<file path=xl/drawings/drawing4.xml><?xml version="1.0" encoding="utf-8"?>
<wsDr xmlns="http://schemas.openxmlformats.org/drawingml/2006/spreadsheetDrawing">
  <twoCellAnchor editAs="oneCell">
    <from>
      <col>5</col>
      <colOff>95250</colOff>
      <row>2</row>
      <rowOff>28575</rowOff>
    </from>
    <to>
      <col>7</col>
      <colOff>988530</colOff>
      <row>8</row>
      <rowOff>231413</rowOff>
    </to>
    <pic>
      <nvPicPr>
        <cNvPr id="11" name="Picture 10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6762750" y="609600"/>
          <a:ext cx="2493480" cy="16887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9</col>
      <colOff>133350</colOff>
      <row>2</row>
      <rowOff>114300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133350</colOff>
      <row>20</row>
      <rowOff>85725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133350</colOff>
      <row>44</row>
      <rowOff>0</rowOff>
    </from>
    <ext cx="86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133350</colOff>
      <row>71</row>
      <rowOff>95250</rowOff>
    </from>
    <ext cx="8640000" cy="432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9</col>
      <colOff>133350</colOff>
      <row>99</row>
      <rowOff>47625</rowOff>
    </from>
    <ext cx="8640000" cy="432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9</col>
      <colOff>133350</colOff>
      <row>126</row>
      <rowOff>114300</rowOff>
    </from>
    <ext cx="8640000" cy="432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9</col>
      <colOff>133350</colOff>
      <row>154</row>
      <rowOff>19050</rowOff>
    </from>
    <ext cx="8640000" cy="432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9</col>
      <colOff>133350</colOff>
      <row>181</row>
      <rowOff>104775</rowOff>
    </from>
    <ext cx="8640000" cy="432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9</col>
      <colOff>133350</colOff>
      <row>209</row>
      <rowOff>38100</rowOff>
    </from>
    <ext cx="8640000" cy="432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</wsDr>
</file>

<file path=xl/drawings/drawing5.xml><?xml version="1.0" encoding="utf-8"?>
<wsDr xmlns="http://schemas.openxmlformats.org/drawingml/2006/spreadsheetDrawing">
  <twoCellAnchor editAs="oneCell">
    <from>
      <col>6</col>
      <colOff>0</colOff>
      <row>2</row>
      <rowOff>0</rowOff>
    </from>
    <to>
      <col>7</col>
      <colOff>1026630</colOff>
      <row>8</row>
      <rowOff>202838</rowOff>
    </to>
    <pic>
      <nvPicPr>
        <cNvPr id="13" name="Picture 1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blipFill>
      <spPr>
        <a:xfrm xmlns:a="http://schemas.openxmlformats.org/drawingml/2006/main">
          <a:off x="6800850" y="581025"/>
          <a:ext cx="2493480" cy="16887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  <oneCellAnchor>
    <from>
      <col>9</col>
      <colOff>161925</colOff>
      <row>2</row>
      <rowOff>95250</rowOff>
    </from>
    <ext cx="864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161925</colOff>
      <row>20</row>
      <rowOff>152400</rowOff>
    </from>
    <ext cx="86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9</col>
      <colOff>161925</colOff>
      <row>41</row>
      <rowOff>66675</rowOff>
    </from>
    <ext cx="864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9</col>
      <colOff>161925</colOff>
      <row>62</row>
      <rowOff>66675</rowOff>
    </from>
    <ext cx="8640000" cy="432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  <oneCellAnchor>
    <from>
      <col>9</col>
      <colOff>161925</colOff>
      <row>90</row>
      <rowOff>0</rowOff>
    </from>
    <ext cx="8640000" cy="4320000"/>
    <graphicFrame>
      <nvGraphicFramePr>
        <cNvPr id="5" name="Chart 5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/>
  </oneCellAnchor>
  <oneCellAnchor>
    <from>
      <col>9</col>
      <colOff>161925</colOff>
      <row>117</row>
      <rowOff>38100</rowOff>
    </from>
    <ext cx="8640000" cy="4320000"/>
    <graphicFrame>
      <nvGraphicFramePr>
        <cNvPr id="6" name="Chart 6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/>
  </oneCellAnchor>
  <oneCellAnchor>
    <from>
      <col>9</col>
      <colOff>161925</colOff>
      <row>144</row>
      <rowOff>66675</rowOff>
    </from>
    <ext cx="8640000" cy="4320000"/>
    <graphicFrame>
      <nvGraphicFramePr>
        <cNvPr id="7" name="Chart 7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/>
  </oneCellAnchor>
  <oneCellAnchor>
    <from>
      <col>9</col>
      <colOff>161925</colOff>
      <row>172</row>
      <rowOff>9525</rowOff>
    </from>
    <ext cx="8640000" cy="4320000"/>
    <graphicFrame>
      <nvGraphicFramePr>
        <cNvPr id="8" name="Chart 8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/>
  </oneCellAnchor>
  <oneCellAnchor>
    <from>
      <col>9</col>
      <colOff>161925</colOff>
      <row>199</row>
      <rowOff>123825</rowOff>
    </from>
    <ext cx="8640000" cy="4320000"/>
    <graphicFrame>
      <nvGraphicFramePr>
        <cNvPr id="9" name="Chart 9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/>
  </oneCellAnchor>
</wsDr>
</file>

<file path=xl/drawings/drawing6.xml><?xml version="1.0" encoding="utf-8"?>
<wsDr xmlns="http://schemas.openxmlformats.org/drawingml/2006/spreadsheetDrawing">
  <oneCellAnchor>
    <from>
      <col>1</col>
      <colOff>0</colOff>
      <row>53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53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73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7</col>
      <colOff>0</colOff>
      <row>73</row>
      <rowOff>0</rowOff>
    </from>
    <ext cx="504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drawings/drawing7.xml><?xml version="1.0" encoding="utf-8"?>
<wsDr xmlns="http://schemas.openxmlformats.org/drawingml/2006/spreadsheetDrawing">
  <twoCellAnchor editAs="oneCell">
    <from>
      <col>5</col>
      <colOff>9525</colOff>
      <row>0</row>
      <rowOff>47625</rowOff>
    </from>
    <to>
      <col>9</col>
      <colOff>540855</colOff>
      <row>6</row>
      <rowOff>69488</rowOff>
    </to>
    <pic>
      <nvPicPr>
        <cNvPr id="2" name="Picture 1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8277225" y="47625"/>
          <a:ext cx="2493480" cy="16887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drawings/drawing8.xml><?xml version="1.0" encoding="utf-8"?>
<wsDr xmlns="http://schemas.openxmlformats.org/drawingml/2006/spreadsheetDrawing">
  <twoCellAnchor editAs="oneCell">
    <from>
      <col>6</col>
      <colOff>0</colOff>
      <row>0</row>
      <rowOff>0</rowOff>
    </from>
    <to>
      <col>10</col>
      <colOff>55080</colOff>
      <row>6</row>
      <rowOff>145688</rowOff>
    </to>
    <pic>
      <nvPicPr>
        <cNvPr id="3" name="Picture 2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7334250" y="0"/>
          <a:ext cx="2493480" cy="1688738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_rels/sheet5.xml.rels><Relationships xmlns="http://schemas.openxmlformats.org/package/2006/relationships"><Relationship Type="http://schemas.openxmlformats.org/officeDocument/2006/relationships/drawing" Target="/xl/drawings/drawing5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6.xml" Id="rId1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7.xml" Id="rId1"/></Relationships>
</file>

<file path=xl/worksheets/_rels/sheet8.xml.rels><Relationships xmlns="http://schemas.openxmlformats.org/package/2006/relationships"><Relationship Type="http://schemas.openxmlformats.org/officeDocument/2006/relationships/drawing" Target="/xl/drawings/drawing8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1:C27"/>
  <sheetViews>
    <sheetView showGridLines="0" workbookViewId="0">
      <selection activeCell="O6" sqref="O6"/>
    </sheetView>
  </sheetViews>
  <sheetFormatPr baseColWidth="8" defaultRowHeight="15"/>
  <cols>
    <col width="2" customWidth="1" style="44" min="1" max="1"/>
    <col width="32" customWidth="1" style="44" min="2" max="2"/>
    <col width="52" customWidth="1" style="44" min="3" max="3"/>
    <col width="2" customWidth="1" style="44" min="4" max="4"/>
  </cols>
  <sheetData>
    <row r="1" ht="36" customHeight="1" s="44">
      <c r="B1" s="46" t="inlineStr">
        <is>
          <t xml:space="preserve">  MECHANICAL VENTILATOR SIMULATOR  </t>
        </is>
      </c>
    </row>
    <row r="2" ht="21.95" customHeight="1" s="44">
      <c r="B2" s="45" t="inlineStr">
        <is>
          <t>Dynamic formula-based simulator — 3 breath cycles per chart — change any yellow cell to instantly update all waveforms</t>
        </is>
      </c>
    </row>
    <row r="4" ht="21.95" customHeight="1" s="44">
      <c r="B4" s="43" t="inlineStr">
        <is>
          <t>SHEET GUIDE</t>
        </is>
      </c>
    </row>
    <row r="5" ht="21.95" customHeight="1" s="44">
      <c r="B5" s="1" t="inlineStr">
        <is>
          <t>📊 VCV</t>
        </is>
      </c>
      <c r="C5" s="2" t="inlineStr">
        <is>
          <t>Volume Controlled Ventilation — 3 breath cycles, 9 charts</t>
        </is>
      </c>
    </row>
    <row r="6" ht="21.95" customHeight="1" s="44">
      <c r="B6" s="3" t="inlineStr">
        <is>
          <t>📊 PCV</t>
        </is>
      </c>
      <c r="C6" s="2" t="inlineStr">
        <is>
          <t>Pressure Controlled Ventilation — 3 breath cycles, 9 charts</t>
        </is>
      </c>
    </row>
    <row r="7" ht="21.95" customHeight="1" s="44">
      <c r="B7" s="4" t="inlineStr">
        <is>
          <t>📊 PSV</t>
        </is>
      </c>
      <c r="C7" s="2" t="inlineStr">
        <is>
          <t>Pressure Support Ventilation — 3 breath cycles, 9 charts</t>
        </is>
      </c>
    </row>
    <row r="8" ht="21.95" customHeight="1" s="44">
      <c r="B8" s="5" t="inlineStr">
        <is>
          <t>📊 APRV</t>
        </is>
      </c>
      <c r="C8" s="2" t="inlineStr">
        <is>
          <t>Airway Pressure Release Ventilation — 3 breath cycles, 9 charts</t>
        </is>
      </c>
    </row>
    <row r="9" ht="21.95" customHeight="1" s="44">
      <c r="B9" s="6" t="inlineStr">
        <is>
          <t>⚡ Mech Power</t>
        </is>
      </c>
      <c r="C9" s="2" t="inlineStr">
        <is>
          <t>AUC P-V loop power for VCV AND PCV</t>
        </is>
      </c>
    </row>
    <row r="10" ht="21.95" customHeight="1" s="44">
      <c r="B10" s="7" t="inlineStr">
        <is>
          <t>🧮 Calculations</t>
        </is>
      </c>
      <c r="C10" s="2" t="inlineStr">
        <is>
          <t>Bedside reference: C_rs, C_L, C_cw, R_aw, τ + interactive calculator</t>
        </is>
      </c>
    </row>
    <row r="11" ht="21.95" customHeight="1" s="44">
      <c r="B11" s="8" t="inlineStr">
        <is>
          <t>📖 Reference</t>
        </is>
      </c>
      <c r="C11" s="2" t="inlineStr">
        <is>
          <t>Normal values, ARDS targets, clinical thresholds</t>
        </is>
      </c>
    </row>
    <row r="13" ht="21.95" customHeight="1" s="44">
      <c r="B13" s="43" t="inlineStr">
        <is>
          <t>UNITS</t>
        </is>
      </c>
    </row>
    <row r="14" ht="20.1" customHeight="1" s="44">
      <c r="B14" s="9" t="inlineStr">
        <is>
          <t>Pressures (Paw, Pmus, Pes, PL, Palv)</t>
        </is>
      </c>
      <c r="C14" s="2" t="inlineStr">
        <is>
          <t>cmH2O</t>
        </is>
      </c>
    </row>
    <row r="15" ht="20.1" customHeight="1" s="44">
      <c r="B15" s="9" t="inlineStr">
        <is>
          <t>Flow</t>
        </is>
      </c>
      <c r="C15" s="2" t="inlineStr">
        <is>
          <t>L/min</t>
        </is>
      </c>
    </row>
    <row r="16" ht="20.1" customHeight="1" s="44">
      <c r="B16" s="9" t="inlineStr">
        <is>
          <t>Volume</t>
        </is>
      </c>
      <c r="C16" s="2" t="inlineStr">
        <is>
          <t>mL</t>
        </is>
      </c>
    </row>
    <row r="17" ht="20.1" customHeight="1" s="44">
      <c r="B17" s="9" t="inlineStr">
        <is>
          <t>Time</t>
        </is>
      </c>
      <c r="C17" s="2" t="inlineStr">
        <is>
          <t>s</t>
        </is>
      </c>
    </row>
    <row r="18" ht="20.1" customHeight="1" s="44">
      <c r="B18" s="9" t="inlineStr">
        <is>
          <t>Work</t>
        </is>
      </c>
      <c r="C18" s="2" t="inlineStr">
        <is>
          <t>J (Joules)</t>
        </is>
      </c>
    </row>
    <row r="19" ht="20.1" customHeight="1" s="44">
      <c r="B19" s="9" t="inlineStr">
        <is>
          <t>Power</t>
        </is>
      </c>
      <c r="C19" s="2" t="inlineStr">
        <is>
          <t>J/min</t>
        </is>
      </c>
    </row>
    <row r="21" ht="21.95" customHeight="1" s="44">
      <c r="B21" s="43" t="inlineStr">
        <is>
          <t>KEY EQUATIONS</t>
        </is>
      </c>
    </row>
    <row r="22" ht="20.1" customHeight="1" s="44">
      <c r="B22" s="9" t="inlineStr">
        <is>
          <t>Equation of Motion</t>
        </is>
      </c>
      <c r="C22" s="10" t="inlineStr">
        <is>
          <t>Paw + Pmus = V/C + F×R + PEEP</t>
        </is>
      </c>
    </row>
    <row r="23" ht="20.1" customHeight="1" s="44">
      <c r="B23" s="9" t="inlineStr">
        <is>
          <t>Pes model</t>
        </is>
      </c>
      <c r="C23" s="10" t="inlineStr">
        <is>
          <t>Pes = PEEP×(Ccw/(C+Ccw)) + V/Ccw + Pmus</t>
        </is>
      </c>
    </row>
    <row r="24" ht="20.1" customHeight="1" s="44">
      <c r="B24" s="9" t="inlineStr">
        <is>
          <t>Transpulmonary PL</t>
        </is>
      </c>
      <c r="C24" s="10" t="inlineStr">
        <is>
          <t>PL = Paw − Pes</t>
        </is>
      </c>
    </row>
    <row r="25" ht="20.1" customHeight="1" s="44">
      <c r="B25" s="9" t="inlineStr">
        <is>
          <t>Alveolar Palv</t>
        </is>
      </c>
      <c r="C25" s="10" t="inlineStr">
        <is>
          <t>Palv = PEEP + V/C</t>
        </is>
      </c>
    </row>
    <row r="26" ht="20.1" customHeight="1" s="44">
      <c r="B26" s="9" t="inlineStr">
        <is>
          <t>Time constant</t>
        </is>
      </c>
      <c r="C26" s="10" t="inlineStr">
        <is>
          <t>τ = R × C</t>
        </is>
      </c>
    </row>
    <row r="27" ht="20.1" customHeight="1" s="44">
      <c r="B27" s="9" t="inlineStr">
        <is>
          <t>Mech Power (AUC)</t>
        </is>
      </c>
      <c r="C27" s="10" t="inlineStr">
        <is>
          <t>MP = Σ(P_avg×ΔV) × RR × 0.0980665  [J/min]</t>
        </is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5">
    <mergeCell ref="B13:C13"/>
    <mergeCell ref="B21:C21"/>
    <mergeCell ref="B2:C2"/>
    <mergeCell ref="B1:C1"/>
    <mergeCell ref="B4:C4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1:O270"/>
  <sheetViews>
    <sheetView showGridLines="0" workbookViewId="0">
      <selection activeCell="C13" sqref="C13"/>
    </sheetView>
  </sheetViews>
  <sheetFormatPr baseColWidth="8" defaultRowHeight="15"/>
  <cols>
    <col width="2" customWidth="1" style="44" min="1" max="1"/>
    <col width="30" customWidth="1" style="44" min="2" max="2"/>
    <col width="14" customWidth="1" style="44" min="3" max="4"/>
    <col width="40" customWidth="1" style="44" min="5" max="5"/>
    <col width="2" customWidth="1" style="44" min="6" max="6"/>
    <col width="22" customWidth="1" style="44" min="7" max="16"/>
  </cols>
  <sheetData>
    <row r="1" ht="27.95" customHeight="1" s="44">
      <c r="B1" s="48" t="inlineStr">
        <is>
          <t xml:space="preserve">  VCV — Volume Controlled Ventilation</t>
        </is>
      </c>
    </row>
    <row r="2" ht="18" customHeight="1" s="44">
      <c r="B2" s="49" t="inlineStr">
        <is>
          <t>Change YELLOW cells → All 3 breath cycles update instantly  |  cmH2O · mL · L/min</t>
        </is>
      </c>
    </row>
    <row r="3" ht="20.1" customHeight="1" s="44">
      <c r="B3" s="11" t="inlineStr">
        <is>
          <t>Parameter</t>
        </is>
      </c>
      <c r="C3" s="11" t="inlineStr">
        <is>
          <t>Value</t>
        </is>
      </c>
      <c r="D3" s="11" t="inlineStr">
        <is>
          <t>Unit</t>
        </is>
      </c>
      <c r="E3" s="11" t="inlineStr">
        <is>
          <t>Description</t>
        </is>
      </c>
    </row>
    <row r="4" ht="20.1" customHeight="1" s="44">
      <c r="B4" s="12" t="inlineStr">
        <is>
          <t>Tidal Volume (Vt)</t>
        </is>
      </c>
      <c r="C4" s="13" t="n">
        <v>0.8</v>
      </c>
      <c r="D4" s="14" t="inlineStr">
        <is>
          <t>L</t>
        </is>
      </c>
      <c r="E4" s="15" t="inlineStr">
        <is>
          <t>Target tidal volume (0.3–0.8 L)</t>
        </is>
      </c>
    </row>
    <row r="5" ht="20.1" customHeight="1" s="44">
      <c r="B5" s="12" t="inlineStr">
        <is>
          <t>Inspiratory Flow</t>
        </is>
      </c>
      <c r="C5" s="13" t="n">
        <v>0.5</v>
      </c>
      <c r="D5" s="14" t="inlineStr">
        <is>
          <t>L/s</t>
        </is>
      </c>
      <c r="E5" s="15" t="inlineStr">
        <is>
          <t>Constant inspiratory flow (0.3–1.5 L/s)</t>
        </is>
      </c>
    </row>
    <row r="6" ht="20.1" customHeight="1" s="44">
      <c r="B6" s="12" t="inlineStr">
        <is>
          <t>Respiratory Rate (RR)</t>
        </is>
      </c>
      <c r="C6" s="13" t="n">
        <v>15</v>
      </c>
      <c r="D6" s="14" t="inlineStr">
        <is>
          <t>br/min</t>
        </is>
      </c>
      <c r="E6" s="15" t="inlineStr">
        <is>
          <t>Breaths per minute (8–35)</t>
        </is>
      </c>
    </row>
    <row r="7" ht="20.1" customHeight="1" s="44">
      <c r="B7" s="12" t="inlineStr">
        <is>
          <t>PEEP</t>
        </is>
      </c>
      <c r="C7" s="13" t="n">
        <v>5</v>
      </c>
      <c r="D7" s="14" t="inlineStr">
        <is>
          <t>cmH2O</t>
        </is>
      </c>
      <c r="E7" s="15" t="inlineStr">
        <is>
          <t>Positive end-expiratory pressure</t>
        </is>
      </c>
    </row>
    <row r="8" ht="20.1" customHeight="1" s="44">
      <c r="B8" s="12" t="inlineStr">
        <is>
          <t>Compliance (C)</t>
        </is>
      </c>
      <c r="C8" s="13" t="n">
        <v>0.05</v>
      </c>
      <c r="D8" s="14" t="inlineStr">
        <is>
          <t>L/cmH2O</t>
        </is>
      </c>
      <c r="E8" s="15" t="inlineStr">
        <is>
          <t>Respiratory system compliance</t>
        </is>
      </c>
    </row>
    <row r="9" ht="20.1" customHeight="1" s="44">
      <c r="B9" s="12" t="inlineStr">
        <is>
          <t>Resistance (R)</t>
        </is>
      </c>
      <c r="C9" s="13" t="n">
        <v>10</v>
      </c>
      <c r="D9" s="14" t="inlineStr">
        <is>
          <t>cmH2O/L/s</t>
        </is>
      </c>
      <c r="E9" s="15" t="inlineStr">
        <is>
          <t>Airway resistance</t>
        </is>
      </c>
    </row>
    <row r="10" ht="20.1" customHeight="1" s="44">
      <c r="B10" s="12" t="inlineStr">
        <is>
          <t>I:E fraction (Ti/Ttot)</t>
        </is>
      </c>
      <c r="C10" s="13" t="n">
        <v>0.33</v>
      </c>
      <c r="D10" s="14" t="inlineStr">
        <is>
          <t>fraction</t>
        </is>
      </c>
      <c r="E10" s="15" t="inlineStr">
        <is>
          <t>Inspiratory fraction (0.2–0.5)</t>
        </is>
      </c>
    </row>
    <row r="11" ht="20.1" customHeight="1" s="44">
      <c r="B11" s="12" t="inlineStr">
        <is>
          <t>Chest Wall Compliance (Ccw)</t>
        </is>
      </c>
      <c r="C11" s="13" t="n">
        <v>0.2</v>
      </c>
      <c r="D11" s="14" t="inlineStr">
        <is>
          <t>L/cmH2O</t>
        </is>
      </c>
      <c r="E11" s="15" t="inlineStr">
        <is>
          <t>Chest wall compliance (normal ~0.2)</t>
        </is>
      </c>
    </row>
    <row r="12" ht="20.1" customHeight="1" s="44">
      <c r="B12" s="12" t="inlineStr">
        <is>
          <t>Pmus peak (effort)</t>
        </is>
      </c>
      <c r="C12" s="13" t="n">
        <v>0</v>
      </c>
      <c r="D12" s="14" t="inlineStr">
        <is>
          <t>cmH2O</t>
        </is>
      </c>
      <c r="E12" s="15" t="inlineStr">
        <is>
          <t>Inspiratory effort (0=passive, 8=active)</t>
        </is>
      </c>
    </row>
    <row r="13" ht="20.1" customHeight="1" s="44">
      <c r="B13" s="12" t="inlineStr">
        <is>
          <t>Pmus duration</t>
        </is>
      </c>
      <c r="C13" s="13" t="n">
        <v>1</v>
      </c>
      <c r="D13" s="14" t="inlineStr">
        <is>
          <t>s</t>
        </is>
      </c>
      <c r="E13" s="15" t="inlineStr">
        <is>
          <t>Duration of inspiratory effort in seconds</t>
        </is>
      </c>
    </row>
    <row r="15" ht="21.95" customHeight="1" s="44">
      <c r="B15" s="47" t="inlineStr">
        <is>
          <t>DERIVED PARAMETERS  (auto-calculated)</t>
        </is>
      </c>
    </row>
    <row r="16" ht="20.1" customHeight="1" s="44">
      <c r="B16" s="12" t="inlineStr">
        <is>
          <t>Total Cycle Time (Ttot)</t>
        </is>
      </c>
      <c r="C16" s="16">
        <f>60/C6</f>
        <v/>
      </c>
      <c r="D16" s="14" t="inlineStr">
        <is>
          <t>s</t>
        </is>
      </c>
      <c r="E16" s="15" t="inlineStr">
        <is>
          <t>60/RR</t>
        </is>
      </c>
    </row>
    <row r="17" ht="20.1" customHeight="1" s="44">
      <c r="B17" s="12" t="inlineStr">
        <is>
          <t>Inspiratory Time (Ti)</t>
        </is>
      </c>
      <c r="C17" s="16">
        <f>(60/C6)*C10</f>
        <v/>
      </c>
      <c r="D17" s="14" t="inlineStr">
        <is>
          <t>s</t>
        </is>
      </c>
      <c r="E17" s="15" t="inlineStr">
        <is>
          <t>Ttot × IE_fraction</t>
        </is>
      </c>
    </row>
    <row r="18" ht="20.1" customHeight="1" s="44">
      <c r="B18" s="12" t="inlineStr">
        <is>
          <t>Expiratory Time (Te)</t>
        </is>
      </c>
      <c r="C18" s="16">
        <f>(60/C6)*(1-C10)</f>
        <v/>
      </c>
      <c r="D18" s="14" t="inlineStr">
        <is>
          <t>s</t>
        </is>
      </c>
      <c r="E18" s="15" t="inlineStr">
        <is>
          <t>Ttot × (1−IE_fraction)</t>
        </is>
      </c>
    </row>
    <row r="19" ht="20.1" customHeight="1" s="44">
      <c r="B19" s="12" t="inlineStr">
        <is>
          <t>I:E Ratio</t>
        </is>
      </c>
      <c r="C19" s="16">
        <f>C10/(1-C10)</f>
        <v/>
      </c>
      <c r="D19" s="14" t="inlineStr">
        <is>
          <t>ratio</t>
        </is>
      </c>
      <c r="E19" s="15" t="inlineStr">
        <is>
          <t>Ti / Te</t>
        </is>
      </c>
    </row>
    <row r="20" ht="20.1" customHeight="1" s="44">
      <c r="B20" s="12" t="inlineStr">
        <is>
          <t>Peak Pressure (PIP)</t>
        </is>
      </c>
      <c r="C20" s="16">
        <f>C7+C4/C8+C5*C9-C12</f>
        <v/>
      </c>
      <c r="D20" s="14" t="inlineStr">
        <is>
          <t>cmH2O</t>
        </is>
      </c>
      <c r="E20" s="15" t="inlineStr">
        <is>
          <t>PEEP+Vt/C+F×R−Pmus</t>
        </is>
      </c>
    </row>
    <row r="21" ht="20.1" customHeight="1" s="44">
      <c r="B21" s="12" t="inlineStr">
        <is>
          <t>Plateau Pressure (Pplat)</t>
        </is>
      </c>
      <c r="C21" s="16">
        <f>C7+C4/C8</f>
        <v/>
      </c>
      <c r="D21" s="14" t="inlineStr">
        <is>
          <t>cmH2O</t>
        </is>
      </c>
      <c r="E21" s="15" t="inlineStr">
        <is>
          <t>PEEP + Vt/C</t>
        </is>
      </c>
    </row>
    <row r="22" ht="20.1" customHeight="1" s="44">
      <c r="B22" s="12" t="inlineStr">
        <is>
          <t>Driving Pressure (ΔP)</t>
        </is>
      </c>
      <c r="C22" s="16">
        <f>C4/C8</f>
        <v/>
      </c>
      <c r="D22" s="14" t="inlineStr">
        <is>
          <t>cmH2O</t>
        </is>
      </c>
      <c r="E22" s="15" t="inlineStr">
        <is>
          <t>Vt/C — target &lt;13</t>
        </is>
      </c>
    </row>
    <row r="23" ht="20.1" customHeight="1" s="44">
      <c r="B23" s="12" t="inlineStr">
        <is>
          <t>Time Constant (τ=R×C)</t>
        </is>
      </c>
      <c r="C23" s="16">
        <f>C9*C8</f>
        <v/>
      </c>
      <c r="D23" s="14" t="inlineStr">
        <is>
          <t>s</t>
        </is>
      </c>
      <c r="E23" s="15" t="inlineStr">
        <is>
          <t>Expiratory time constant</t>
        </is>
      </c>
    </row>
    <row r="24" ht="20.1" customHeight="1" s="44">
      <c r="B24" s="12" t="inlineStr">
        <is>
          <t>Minute Ventilation</t>
        </is>
      </c>
      <c r="C24" s="16">
        <f>C4*C6</f>
        <v/>
      </c>
      <c r="D24" s="14" t="inlineStr">
        <is>
          <t>L/min</t>
        </is>
      </c>
      <c r="E24" s="15" t="inlineStr">
        <is>
          <t>Vt × RR</t>
        </is>
      </c>
    </row>
    <row r="25" ht="20.1" customHeight="1" s="44">
      <c r="B25" s="12" t="inlineStr">
        <is>
          <t>Tidal Volume (mL)</t>
        </is>
      </c>
      <c r="C25" s="16">
        <f>C4*1000</f>
        <v/>
      </c>
      <c r="D25" s="14" t="inlineStr">
        <is>
          <t>mL</t>
        </is>
      </c>
      <c r="E25" s="15" t="inlineStr">
        <is>
          <t>Vt in millilitres</t>
        </is>
      </c>
    </row>
    <row r="26" ht="20.1" customHeight="1" s="44">
      <c r="B26" s="12" t="inlineStr">
        <is>
          <t>Pes baseline</t>
        </is>
      </c>
      <c r="C26" s="16">
        <f>C7*(C11/(C8+C11))</f>
        <v/>
      </c>
      <c r="D26" s="14" t="inlineStr">
        <is>
          <t>cmH2O</t>
        </is>
      </c>
      <c r="E26" s="15" t="inlineStr">
        <is>
          <t>PEEP fraction to pleural space</t>
        </is>
      </c>
    </row>
    <row r="27" ht="20.1" customHeight="1" s="44">
      <c r="B27" s="12" t="inlineStr">
        <is>
          <t>Elastance (1/C)</t>
        </is>
      </c>
      <c r="C27" s="16">
        <f>1/C8</f>
        <v/>
      </c>
      <c r="D27" s="14" t="inlineStr">
        <is>
          <t>cmH2O/L</t>
        </is>
      </c>
      <c r="E27" s="15" t="inlineStr">
        <is>
          <t>Reciprocal of compliance</t>
        </is>
      </c>
    </row>
    <row r="29" ht="20.1" customHeight="1" s="44">
      <c r="B29" s="50" t="inlineStr">
        <is>
          <t>WAVEFORM DATA — 3 BREATH CYCLES × 80 points = 240 rows  (formulas update automatically)</t>
        </is>
      </c>
    </row>
    <row r="30" ht="18" customHeight="1" s="44">
      <c r="B30" s="17" t="inlineStr">
        <is>
          <t>Time (s)</t>
        </is>
      </c>
      <c r="C30" s="18" t="inlineStr">
        <is>
          <t>Paw (cmH2O)</t>
        </is>
      </c>
      <c r="D30" s="19" t="inlineStr">
        <is>
          <t>Flow (L/min)</t>
        </is>
      </c>
      <c r="E30" s="20" t="inlineStr">
        <is>
          <t>Volume (mL)</t>
        </is>
      </c>
      <c r="F30" s="21" t="inlineStr">
        <is>
          <t>Pmus (cmH2O)</t>
        </is>
      </c>
      <c r="G30" s="22" t="inlineStr">
        <is>
          <t>Pes (cmH2O)</t>
        </is>
      </c>
      <c r="H30" s="23" t="inlineStr">
        <is>
          <t>PL (cmH2O)</t>
        </is>
      </c>
      <c r="I30" s="24" t="inlineStr">
        <is>
          <t>Palv (cmH2O)</t>
        </is>
      </c>
    </row>
    <row r="31" ht="12.95" customHeight="1" s="44">
      <c r="B31" s="25">
        <f>(0/80*(60/C6))</f>
        <v/>
      </c>
      <c r="C31" s="25">
        <f>IF(MOD((0/80*(60/C6)),(60/C6))&lt;(60/C6*C10),C7+(IF(MOD((0/80*(60/C6)),(60/C6))&lt;(60/C6*C10),MIN(C5*MOD((0/80*(60/C6)),(60/C6)),C4),C4*EXP(-(MOD((0/80*(60/C6)),(60/C6))-(60/C6*C10))/(C9*C8))))/C8+C5*C9-F31,C7+(IF(MOD((0/80*(60/C6)),(60/C6))&lt;(60/C6*C10),MIN(C5*MOD((0/80*(60/C6)),(60/C6)),C4),C4*EXP(-(MOD((0/80*(60/C6)),(60/C6))-(60/C6*C10))/(C9*C8))))/C8)</f>
        <v/>
      </c>
      <c r="D31" s="25">
        <f>IF(MOD((0/80*(60/C6)),(60/C6))&lt;(60/C6*C10),C5*60,-(IF(MOD((0/80*(60/C6)),(60/C6))&lt;(60/C6*C10),MIN(C5*MOD((0/80*(60/C6)),(60/C6)),C4),C4*EXP(-(MOD((0/80*(60/C6)),(60/C6))-(60/C6*C10))/(C9*C8))))/(C9*C8)*60)</f>
        <v/>
      </c>
      <c r="E31" s="26">
        <f>(IF(MOD((0/80*(60/C6)),(60/C6))&lt;(60/C6*C10),MIN(C5*MOD((0/80*(60/C6)),(60/C6)),C4),C4*EXP(-(MOD((0/80*(60/C6)),(60/C6))-(60/C6*C10))/(C9*C8))))*1000</f>
        <v/>
      </c>
      <c r="F31" s="25">
        <f>IF(AND(MOD((0/80*(60/C6)),(60/C6))&lt;(60/C6*C10),MOD((0/80*(60/C6)),(60/C6))&lt;C13),-ABS(C12)*SIN(PI()*MOD((0/80*(60/C6)),(60/C6))/C13),0)</f>
        <v/>
      </c>
      <c r="G31" s="25">
        <f>C7*(C11/(C8+C11))+(E31/1000)/C11+F31</f>
        <v/>
      </c>
      <c r="H31" s="25">
        <f>C31-G31</f>
        <v/>
      </c>
      <c r="I31" s="25">
        <f>C7+(E31/1000)/C8</f>
        <v/>
      </c>
    </row>
    <row r="32" ht="12.95" customHeight="1" s="44">
      <c r="B32" s="27">
        <f>(1/80*(60/C6))</f>
        <v/>
      </c>
      <c r="C32" s="27">
        <f>IF(MOD((1/80*(60/C6)),(60/C6))&lt;(60/C6*C10),C7+(IF(MOD((1/80*(60/C6)),(60/C6))&lt;(60/C6*C10),MIN(C5*MOD((1/80*(60/C6)),(60/C6)),C4),C4*EXP(-(MOD((1/80*(60/C6)),(60/C6))-(60/C6*C10))/(C9*C8))))/C8+C5*C9-F32,C7+(IF(MOD((1/80*(60/C6)),(60/C6))&lt;(60/C6*C10),MIN(C5*MOD((1/80*(60/C6)),(60/C6)),C4),C4*EXP(-(MOD((1/80*(60/C6)),(60/C6))-(60/C6*C10))/(C9*C8))))/C8)</f>
        <v/>
      </c>
      <c r="D32" s="27">
        <f>IF(MOD((1/80*(60/C6)),(60/C6))&lt;(60/C6*C10),C5*60,-(IF(MOD((1/80*(60/C6)),(60/C6))&lt;(60/C6*C10),MIN(C5*MOD((1/80*(60/C6)),(60/C6)),C4),C4*EXP(-(MOD((1/80*(60/C6)),(60/C6))-(60/C6*C10))/(C9*C8))))/(C9*C8)*60)</f>
        <v/>
      </c>
      <c r="E32" s="28">
        <f>(IF(MOD((1/80*(60/C6)),(60/C6))&lt;(60/C6*C10),MIN(C5*MOD((1/80*(60/C6)),(60/C6)),C4),C4*EXP(-(MOD((1/80*(60/C6)),(60/C6))-(60/C6*C10))/(C9*C8))))*1000</f>
        <v/>
      </c>
      <c r="F32" s="27">
        <f>IF(AND(MOD((1/80*(60/C6)),(60/C6))&lt;(60/C6*C10),MOD((1/80*(60/C6)),(60/C6))&lt;C13),-ABS(C12)*SIN(PI()*MOD((1/80*(60/C6)),(60/C6))/C13),0)</f>
        <v/>
      </c>
      <c r="G32" s="27">
        <f>C7*(C11/(C8+C11))+(E32/1000)/C11+F32</f>
        <v/>
      </c>
      <c r="H32" s="27">
        <f>C32-G32</f>
        <v/>
      </c>
      <c r="I32" s="27">
        <f>C7+(E32/1000)/C8</f>
        <v/>
      </c>
    </row>
    <row r="33" ht="12.95" customHeight="1" s="44">
      <c r="B33" s="25">
        <f>(2/80*(60/C6))</f>
        <v/>
      </c>
      <c r="C33" s="25">
        <f>IF(MOD((2/80*(60/C6)),(60/C6))&lt;(60/C6*C10),C7+(IF(MOD((2/80*(60/C6)),(60/C6))&lt;(60/C6*C10),MIN(C5*MOD((2/80*(60/C6)),(60/C6)),C4),C4*EXP(-(MOD((2/80*(60/C6)),(60/C6))-(60/C6*C10))/(C9*C8))))/C8+C5*C9-F33,C7+(IF(MOD((2/80*(60/C6)),(60/C6))&lt;(60/C6*C10),MIN(C5*MOD((2/80*(60/C6)),(60/C6)),C4),C4*EXP(-(MOD((2/80*(60/C6)),(60/C6))-(60/C6*C10))/(C9*C8))))/C8)</f>
        <v/>
      </c>
      <c r="D33" s="25">
        <f>IF(MOD((2/80*(60/C6)),(60/C6))&lt;(60/C6*C10),C5*60,-(IF(MOD((2/80*(60/C6)),(60/C6))&lt;(60/C6*C10),MIN(C5*MOD((2/80*(60/C6)),(60/C6)),C4),C4*EXP(-(MOD((2/80*(60/C6)),(60/C6))-(60/C6*C10))/(C9*C8))))/(C9*C8)*60)</f>
        <v/>
      </c>
      <c r="E33" s="26">
        <f>(IF(MOD((2/80*(60/C6)),(60/C6))&lt;(60/C6*C10),MIN(C5*MOD((2/80*(60/C6)),(60/C6)),C4),C4*EXP(-(MOD((2/80*(60/C6)),(60/C6))-(60/C6*C10))/(C9*C8))))*1000</f>
        <v/>
      </c>
      <c r="F33" s="25">
        <f>IF(AND(MOD((2/80*(60/C6)),(60/C6))&lt;(60/C6*C10),MOD((2/80*(60/C6)),(60/C6))&lt;C13),-ABS(C12)*SIN(PI()*MOD((2/80*(60/C6)),(60/C6))/C13),0)</f>
        <v/>
      </c>
      <c r="G33" s="25">
        <f>C7*(C11/(C8+C11))+(E33/1000)/C11+F33</f>
        <v/>
      </c>
      <c r="H33" s="25">
        <f>C33-G33</f>
        <v/>
      </c>
      <c r="I33" s="25">
        <f>C7+(E33/1000)/C8</f>
        <v/>
      </c>
    </row>
    <row r="34" ht="12.95" customHeight="1" s="44">
      <c r="B34" s="27">
        <f>(3/80*(60/C6))</f>
        <v/>
      </c>
      <c r="C34" s="27">
        <f>IF(MOD((3/80*(60/C6)),(60/C6))&lt;(60/C6*C10),C7+(IF(MOD((3/80*(60/C6)),(60/C6))&lt;(60/C6*C10),MIN(C5*MOD((3/80*(60/C6)),(60/C6)),C4),C4*EXP(-(MOD((3/80*(60/C6)),(60/C6))-(60/C6*C10))/(C9*C8))))/C8+C5*C9-F34,C7+(IF(MOD((3/80*(60/C6)),(60/C6))&lt;(60/C6*C10),MIN(C5*MOD((3/80*(60/C6)),(60/C6)),C4),C4*EXP(-(MOD((3/80*(60/C6)),(60/C6))-(60/C6*C10))/(C9*C8))))/C8)</f>
        <v/>
      </c>
      <c r="D34" s="27">
        <f>IF(MOD((3/80*(60/C6)),(60/C6))&lt;(60/C6*C10),C5*60,-(IF(MOD((3/80*(60/C6)),(60/C6))&lt;(60/C6*C10),MIN(C5*MOD((3/80*(60/C6)),(60/C6)),C4),C4*EXP(-(MOD((3/80*(60/C6)),(60/C6))-(60/C6*C10))/(C9*C8))))/(C9*C8)*60)</f>
        <v/>
      </c>
      <c r="E34" s="28">
        <f>(IF(MOD((3/80*(60/C6)),(60/C6))&lt;(60/C6*C10),MIN(C5*MOD((3/80*(60/C6)),(60/C6)),C4),C4*EXP(-(MOD((3/80*(60/C6)),(60/C6))-(60/C6*C10))/(C9*C8))))*1000</f>
        <v/>
      </c>
      <c r="F34" s="27">
        <f>IF(AND(MOD((3/80*(60/C6)),(60/C6))&lt;(60/C6*C10),MOD((3/80*(60/C6)),(60/C6))&lt;C13),-ABS(C12)*SIN(PI()*MOD((3/80*(60/C6)),(60/C6))/C13),0)</f>
        <v/>
      </c>
      <c r="G34" s="27">
        <f>C7*(C11/(C8+C11))+(E34/1000)/C11+F34</f>
        <v/>
      </c>
      <c r="H34" s="27">
        <f>C34-G34</f>
        <v/>
      </c>
      <c r="I34" s="27">
        <f>C7+(E34/1000)/C8</f>
        <v/>
      </c>
    </row>
    <row r="35" ht="12.95" customHeight="1" s="44">
      <c r="B35" s="25">
        <f>(4/80*(60/C6))</f>
        <v/>
      </c>
      <c r="C35" s="25">
        <f>IF(MOD((4/80*(60/C6)),(60/C6))&lt;(60/C6*C10),C7+(IF(MOD((4/80*(60/C6)),(60/C6))&lt;(60/C6*C10),MIN(C5*MOD((4/80*(60/C6)),(60/C6)),C4),C4*EXP(-(MOD((4/80*(60/C6)),(60/C6))-(60/C6*C10))/(C9*C8))))/C8+C5*C9-F35,C7+(IF(MOD((4/80*(60/C6)),(60/C6))&lt;(60/C6*C10),MIN(C5*MOD((4/80*(60/C6)),(60/C6)),C4),C4*EXP(-(MOD((4/80*(60/C6)),(60/C6))-(60/C6*C10))/(C9*C8))))/C8)</f>
        <v/>
      </c>
      <c r="D35" s="25">
        <f>IF(MOD((4/80*(60/C6)),(60/C6))&lt;(60/C6*C10),C5*60,-(IF(MOD((4/80*(60/C6)),(60/C6))&lt;(60/C6*C10),MIN(C5*MOD((4/80*(60/C6)),(60/C6)),C4),C4*EXP(-(MOD((4/80*(60/C6)),(60/C6))-(60/C6*C10))/(C9*C8))))/(C9*C8)*60)</f>
        <v/>
      </c>
      <c r="E35" s="26">
        <f>(IF(MOD((4/80*(60/C6)),(60/C6))&lt;(60/C6*C10),MIN(C5*MOD((4/80*(60/C6)),(60/C6)),C4),C4*EXP(-(MOD((4/80*(60/C6)),(60/C6))-(60/C6*C10))/(C9*C8))))*1000</f>
        <v/>
      </c>
      <c r="F35" s="25">
        <f>IF(AND(MOD((4/80*(60/C6)),(60/C6))&lt;(60/C6*C10),MOD((4/80*(60/C6)),(60/C6))&lt;C13),-ABS(C12)*SIN(PI()*MOD((4/80*(60/C6)),(60/C6))/C13),0)</f>
        <v/>
      </c>
      <c r="G35" s="25">
        <f>C7*(C11/(C8+C11))+(E35/1000)/C11+F35</f>
        <v/>
      </c>
      <c r="H35" s="25">
        <f>C35-G35</f>
        <v/>
      </c>
      <c r="I35" s="25">
        <f>C7+(E35/1000)/C8</f>
        <v/>
      </c>
    </row>
    <row r="36" ht="12.95" customHeight="1" s="44">
      <c r="B36" s="27">
        <f>(5/80*(60/C6))</f>
        <v/>
      </c>
      <c r="C36" s="27">
        <f>IF(MOD((5/80*(60/C6)),(60/C6))&lt;(60/C6*C10),C7+(IF(MOD((5/80*(60/C6)),(60/C6))&lt;(60/C6*C10),MIN(C5*MOD((5/80*(60/C6)),(60/C6)),C4),C4*EXP(-(MOD((5/80*(60/C6)),(60/C6))-(60/C6*C10))/(C9*C8))))/C8+C5*C9-F36,C7+(IF(MOD((5/80*(60/C6)),(60/C6))&lt;(60/C6*C10),MIN(C5*MOD((5/80*(60/C6)),(60/C6)),C4),C4*EXP(-(MOD((5/80*(60/C6)),(60/C6))-(60/C6*C10))/(C9*C8))))/C8)</f>
        <v/>
      </c>
      <c r="D36" s="27">
        <f>IF(MOD((5/80*(60/C6)),(60/C6))&lt;(60/C6*C10),C5*60,-(IF(MOD((5/80*(60/C6)),(60/C6))&lt;(60/C6*C10),MIN(C5*MOD((5/80*(60/C6)),(60/C6)),C4),C4*EXP(-(MOD((5/80*(60/C6)),(60/C6))-(60/C6*C10))/(C9*C8))))/(C9*C8)*60)</f>
        <v/>
      </c>
      <c r="E36" s="28">
        <f>(IF(MOD((5/80*(60/C6)),(60/C6))&lt;(60/C6*C10),MIN(C5*MOD((5/80*(60/C6)),(60/C6)),C4),C4*EXP(-(MOD((5/80*(60/C6)),(60/C6))-(60/C6*C10))/(C9*C8))))*1000</f>
        <v/>
      </c>
      <c r="F36" s="27">
        <f>IF(AND(MOD((5/80*(60/C6)),(60/C6))&lt;(60/C6*C10),MOD((5/80*(60/C6)),(60/C6))&lt;C13),-ABS(C12)*SIN(PI()*MOD((5/80*(60/C6)),(60/C6))/C13),0)</f>
        <v/>
      </c>
      <c r="G36" s="27">
        <f>C7*(C11/(C8+C11))+(E36/1000)/C11+F36</f>
        <v/>
      </c>
      <c r="H36" s="27">
        <f>C36-G36</f>
        <v/>
      </c>
      <c r="I36" s="27">
        <f>C7+(E36/1000)/C8</f>
        <v/>
      </c>
    </row>
    <row r="37" ht="12.95" customHeight="1" s="44">
      <c r="B37" s="25">
        <f>(6/80*(60/C6))</f>
        <v/>
      </c>
      <c r="C37" s="25">
        <f>IF(MOD((6/80*(60/C6)),(60/C6))&lt;(60/C6*C10),C7+(IF(MOD((6/80*(60/C6)),(60/C6))&lt;(60/C6*C10),MIN(C5*MOD((6/80*(60/C6)),(60/C6)),C4),C4*EXP(-(MOD((6/80*(60/C6)),(60/C6))-(60/C6*C10))/(C9*C8))))/C8+C5*C9-F37,C7+(IF(MOD((6/80*(60/C6)),(60/C6))&lt;(60/C6*C10),MIN(C5*MOD((6/80*(60/C6)),(60/C6)),C4),C4*EXP(-(MOD((6/80*(60/C6)),(60/C6))-(60/C6*C10))/(C9*C8))))/C8)</f>
        <v/>
      </c>
      <c r="D37" s="25">
        <f>IF(MOD((6/80*(60/C6)),(60/C6))&lt;(60/C6*C10),C5*60,-(IF(MOD((6/80*(60/C6)),(60/C6))&lt;(60/C6*C10),MIN(C5*MOD((6/80*(60/C6)),(60/C6)),C4),C4*EXP(-(MOD((6/80*(60/C6)),(60/C6))-(60/C6*C10))/(C9*C8))))/(C9*C8)*60)</f>
        <v/>
      </c>
      <c r="E37" s="26">
        <f>(IF(MOD((6/80*(60/C6)),(60/C6))&lt;(60/C6*C10),MIN(C5*MOD((6/80*(60/C6)),(60/C6)),C4),C4*EXP(-(MOD((6/80*(60/C6)),(60/C6))-(60/C6*C10))/(C9*C8))))*1000</f>
        <v/>
      </c>
      <c r="F37" s="25">
        <f>IF(AND(MOD((6/80*(60/C6)),(60/C6))&lt;(60/C6*C10),MOD((6/80*(60/C6)),(60/C6))&lt;C13),-ABS(C12)*SIN(PI()*MOD((6/80*(60/C6)),(60/C6))/C13),0)</f>
        <v/>
      </c>
      <c r="G37" s="25">
        <f>C7*(C11/(C8+C11))+(E37/1000)/C11+F37</f>
        <v/>
      </c>
      <c r="H37" s="25">
        <f>C37-G37</f>
        <v/>
      </c>
      <c r="I37" s="25">
        <f>C7+(E37/1000)/C8</f>
        <v/>
      </c>
    </row>
    <row r="38" ht="12.95" customHeight="1" s="44">
      <c r="B38" s="27">
        <f>(7/80*(60/C6))</f>
        <v/>
      </c>
      <c r="C38" s="27">
        <f>IF(MOD((7/80*(60/C6)),(60/C6))&lt;(60/C6*C10),C7+(IF(MOD((7/80*(60/C6)),(60/C6))&lt;(60/C6*C10),MIN(C5*MOD((7/80*(60/C6)),(60/C6)),C4),C4*EXP(-(MOD((7/80*(60/C6)),(60/C6))-(60/C6*C10))/(C9*C8))))/C8+C5*C9-F38,C7+(IF(MOD((7/80*(60/C6)),(60/C6))&lt;(60/C6*C10),MIN(C5*MOD((7/80*(60/C6)),(60/C6)),C4),C4*EXP(-(MOD((7/80*(60/C6)),(60/C6))-(60/C6*C10))/(C9*C8))))/C8)</f>
        <v/>
      </c>
      <c r="D38" s="27">
        <f>IF(MOD((7/80*(60/C6)),(60/C6))&lt;(60/C6*C10),C5*60,-(IF(MOD((7/80*(60/C6)),(60/C6))&lt;(60/C6*C10),MIN(C5*MOD((7/80*(60/C6)),(60/C6)),C4),C4*EXP(-(MOD((7/80*(60/C6)),(60/C6))-(60/C6*C10))/(C9*C8))))/(C9*C8)*60)</f>
        <v/>
      </c>
      <c r="E38" s="28">
        <f>(IF(MOD((7/80*(60/C6)),(60/C6))&lt;(60/C6*C10),MIN(C5*MOD((7/80*(60/C6)),(60/C6)),C4),C4*EXP(-(MOD((7/80*(60/C6)),(60/C6))-(60/C6*C10))/(C9*C8))))*1000</f>
        <v/>
      </c>
      <c r="F38" s="27">
        <f>IF(AND(MOD((7/80*(60/C6)),(60/C6))&lt;(60/C6*C10),MOD((7/80*(60/C6)),(60/C6))&lt;C13),-ABS(C12)*SIN(PI()*MOD((7/80*(60/C6)),(60/C6))/C13),0)</f>
        <v/>
      </c>
      <c r="G38" s="27">
        <f>C7*(C11/(C8+C11))+(E38/1000)/C11+F38</f>
        <v/>
      </c>
      <c r="H38" s="27">
        <f>C38-G38</f>
        <v/>
      </c>
      <c r="I38" s="27">
        <f>C7+(E38/1000)/C8</f>
        <v/>
      </c>
    </row>
    <row r="39" ht="12.95" customHeight="1" s="44">
      <c r="B39" s="25">
        <f>(8/80*(60/C6))</f>
        <v/>
      </c>
      <c r="C39" s="25">
        <f>IF(MOD((8/80*(60/C6)),(60/C6))&lt;(60/C6*C10),C7+(IF(MOD((8/80*(60/C6)),(60/C6))&lt;(60/C6*C10),MIN(C5*MOD((8/80*(60/C6)),(60/C6)),C4),C4*EXP(-(MOD((8/80*(60/C6)),(60/C6))-(60/C6*C10))/(C9*C8))))/C8+C5*C9-F39,C7+(IF(MOD((8/80*(60/C6)),(60/C6))&lt;(60/C6*C10),MIN(C5*MOD((8/80*(60/C6)),(60/C6)),C4),C4*EXP(-(MOD((8/80*(60/C6)),(60/C6))-(60/C6*C10))/(C9*C8))))/C8)</f>
        <v/>
      </c>
      <c r="D39" s="25">
        <f>IF(MOD((8/80*(60/C6)),(60/C6))&lt;(60/C6*C10),C5*60,-(IF(MOD((8/80*(60/C6)),(60/C6))&lt;(60/C6*C10),MIN(C5*MOD((8/80*(60/C6)),(60/C6)),C4),C4*EXP(-(MOD((8/80*(60/C6)),(60/C6))-(60/C6*C10))/(C9*C8))))/(C9*C8)*60)</f>
        <v/>
      </c>
      <c r="E39" s="26">
        <f>(IF(MOD((8/80*(60/C6)),(60/C6))&lt;(60/C6*C10),MIN(C5*MOD((8/80*(60/C6)),(60/C6)),C4),C4*EXP(-(MOD((8/80*(60/C6)),(60/C6))-(60/C6*C10))/(C9*C8))))*1000</f>
        <v/>
      </c>
      <c r="F39" s="25">
        <f>IF(AND(MOD((8/80*(60/C6)),(60/C6))&lt;(60/C6*C10),MOD((8/80*(60/C6)),(60/C6))&lt;C13),-ABS(C12)*SIN(PI()*MOD((8/80*(60/C6)),(60/C6))/C13),0)</f>
        <v/>
      </c>
      <c r="G39" s="25">
        <f>C7*(C11/(C8+C11))+(E39/1000)/C11+F39</f>
        <v/>
      </c>
      <c r="H39" s="25">
        <f>C39-G39</f>
        <v/>
      </c>
      <c r="I39" s="25">
        <f>C7+(E39/1000)/C8</f>
        <v/>
      </c>
    </row>
    <row r="40" ht="12.95" customHeight="1" s="44">
      <c r="B40" s="27">
        <f>(9/80*(60/C6))</f>
        <v/>
      </c>
      <c r="C40" s="27">
        <f>IF(MOD((9/80*(60/C6)),(60/C6))&lt;(60/C6*C10),C7+(IF(MOD((9/80*(60/C6)),(60/C6))&lt;(60/C6*C10),MIN(C5*MOD((9/80*(60/C6)),(60/C6)),C4),C4*EXP(-(MOD((9/80*(60/C6)),(60/C6))-(60/C6*C10))/(C9*C8))))/C8+C5*C9-F40,C7+(IF(MOD((9/80*(60/C6)),(60/C6))&lt;(60/C6*C10),MIN(C5*MOD((9/80*(60/C6)),(60/C6)),C4),C4*EXP(-(MOD((9/80*(60/C6)),(60/C6))-(60/C6*C10))/(C9*C8))))/C8)</f>
        <v/>
      </c>
      <c r="D40" s="27">
        <f>IF(MOD((9/80*(60/C6)),(60/C6))&lt;(60/C6*C10),C5*60,-(IF(MOD((9/80*(60/C6)),(60/C6))&lt;(60/C6*C10),MIN(C5*MOD((9/80*(60/C6)),(60/C6)),C4),C4*EXP(-(MOD((9/80*(60/C6)),(60/C6))-(60/C6*C10))/(C9*C8))))/(C9*C8)*60)</f>
        <v/>
      </c>
      <c r="E40" s="28">
        <f>(IF(MOD((9/80*(60/C6)),(60/C6))&lt;(60/C6*C10),MIN(C5*MOD((9/80*(60/C6)),(60/C6)),C4),C4*EXP(-(MOD((9/80*(60/C6)),(60/C6))-(60/C6*C10))/(C9*C8))))*1000</f>
        <v/>
      </c>
      <c r="F40" s="27">
        <f>IF(AND(MOD((9/80*(60/C6)),(60/C6))&lt;(60/C6*C10),MOD((9/80*(60/C6)),(60/C6))&lt;C13),-ABS(C12)*SIN(PI()*MOD((9/80*(60/C6)),(60/C6))/C13),0)</f>
        <v/>
      </c>
      <c r="G40" s="27">
        <f>C7*(C11/(C8+C11))+(E40/1000)/C11+F40</f>
        <v/>
      </c>
      <c r="H40" s="27">
        <f>C40-G40</f>
        <v/>
      </c>
      <c r="I40" s="27">
        <f>C7+(E40/1000)/C8</f>
        <v/>
      </c>
    </row>
    <row r="41" ht="12.95" customHeight="1" s="44">
      <c r="B41" s="25">
        <f>(10/80*(60/C6))</f>
        <v/>
      </c>
      <c r="C41" s="25">
        <f>IF(MOD((10/80*(60/C6)),(60/C6))&lt;(60/C6*C10),C7+(IF(MOD((10/80*(60/C6)),(60/C6))&lt;(60/C6*C10),MIN(C5*MOD((10/80*(60/C6)),(60/C6)),C4),C4*EXP(-(MOD((10/80*(60/C6)),(60/C6))-(60/C6*C10))/(C9*C8))))/C8+C5*C9-F41,C7+(IF(MOD((10/80*(60/C6)),(60/C6))&lt;(60/C6*C10),MIN(C5*MOD((10/80*(60/C6)),(60/C6)),C4),C4*EXP(-(MOD((10/80*(60/C6)),(60/C6))-(60/C6*C10))/(C9*C8))))/C8)</f>
        <v/>
      </c>
      <c r="D41" s="25">
        <f>IF(MOD((10/80*(60/C6)),(60/C6))&lt;(60/C6*C10),C5*60,-(IF(MOD((10/80*(60/C6)),(60/C6))&lt;(60/C6*C10),MIN(C5*MOD((10/80*(60/C6)),(60/C6)),C4),C4*EXP(-(MOD((10/80*(60/C6)),(60/C6))-(60/C6*C10))/(C9*C8))))/(C9*C8)*60)</f>
        <v/>
      </c>
      <c r="E41" s="26">
        <f>(IF(MOD((10/80*(60/C6)),(60/C6))&lt;(60/C6*C10),MIN(C5*MOD((10/80*(60/C6)),(60/C6)),C4),C4*EXP(-(MOD((10/80*(60/C6)),(60/C6))-(60/C6*C10))/(C9*C8))))*1000</f>
        <v/>
      </c>
      <c r="F41" s="25">
        <f>IF(AND(MOD((10/80*(60/C6)),(60/C6))&lt;(60/C6*C10),MOD((10/80*(60/C6)),(60/C6))&lt;C13),-ABS(C12)*SIN(PI()*MOD((10/80*(60/C6)),(60/C6))/C13),0)</f>
        <v/>
      </c>
      <c r="G41" s="25">
        <f>C7*(C11/(C8+C11))+(E41/1000)/C11+F41</f>
        <v/>
      </c>
      <c r="H41" s="25">
        <f>C41-G41</f>
        <v/>
      </c>
      <c r="I41" s="25">
        <f>C7+(E41/1000)/C8</f>
        <v/>
      </c>
    </row>
    <row r="42" ht="12.95" customHeight="1" s="44">
      <c r="B42" s="27">
        <f>(11/80*(60/C6))</f>
        <v/>
      </c>
      <c r="C42" s="27">
        <f>IF(MOD((11/80*(60/C6)),(60/C6))&lt;(60/C6*C10),C7+(IF(MOD((11/80*(60/C6)),(60/C6))&lt;(60/C6*C10),MIN(C5*MOD((11/80*(60/C6)),(60/C6)),C4),C4*EXP(-(MOD((11/80*(60/C6)),(60/C6))-(60/C6*C10))/(C9*C8))))/C8+C5*C9-F42,C7+(IF(MOD((11/80*(60/C6)),(60/C6))&lt;(60/C6*C10),MIN(C5*MOD((11/80*(60/C6)),(60/C6)),C4),C4*EXP(-(MOD((11/80*(60/C6)),(60/C6))-(60/C6*C10))/(C9*C8))))/C8)</f>
        <v/>
      </c>
      <c r="D42" s="27">
        <f>IF(MOD((11/80*(60/C6)),(60/C6))&lt;(60/C6*C10),C5*60,-(IF(MOD((11/80*(60/C6)),(60/C6))&lt;(60/C6*C10),MIN(C5*MOD((11/80*(60/C6)),(60/C6)),C4),C4*EXP(-(MOD((11/80*(60/C6)),(60/C6))-(60/C6*C10))/(C9*C8))))/(C9*C8)*60)</f>
        <v/>
      </c>
      <c r="E42" s="28">
        <f>(IF(MOD((11/80*(60/C6)),(60/C6))&lt;(60/C6*C10),MIN(C5*MOD((11/80*(60/C6)),(60/C6)),C4),C4*EXP(-(MOD((11/80*(60/C6)),(60/C6))-(60/C6*C10))/(C9*C8))))*1000</f>
        <v/>
      </c>
      <c r="F42" s="27">
        <f>IF(AND(MOD((11/80*(60/C6)),(60/C6))&lt;(60/C6*C10),MOD((11/80*(60/C6)),(60/C6))&lt;C13),-ABS(C12)*SIN(PI()*MOD((11/80*(60/C6)),(60/C6))/C13),0)</f>
        <v/>
      </c>
      <c r="G42" s="27">
        <f>C7*(C11/(C8+C11))+(E42/1000)/C11+F42</f>
        <v/>
      </c>
      <c r="H42" s="27">
        <f>C42-G42</f>
        <v/>
      </c>
      <c r="I42" s="27">
        <f>C7+(E42/1000)/C8</f>
        <v/>
      </c>
    </row>
    <row r="43" ht="12.95" customHeight="1" s="44">
      <c r="B43" s="25">
        <f>(12/80*(60/C6))</f>
        <v/>
      </c>
      <c r="C43" s="25">
        <f>IF(MOD((12/80*(60/C6)),(60/C6))&lt;(60/C6*C10),C7+(IF(MOD((12/80*(60/C6)),(60/C6))&lt;(60/C6*C10),MIN(C5*MOD((12/80*(60/C6)),(60/C6)),C4),C4*EXP(-(MOD((12/80*(60/C6)),(60/C6))-(60/C6*C10))/(C9*C8))))/C8+C5*C9-F43,C7+(IF(MOD((12/80*(60/C6)),(60/C6))&lt;(60/C6*C10),MIN(C5*MOD((12/80*(60/C6)),(60/C6)),C4),C4*EXP(-(MOD((12/80*(60/C6)),(60/C6))-(60/C6*C10))/(C9*C8))))/C8)</f>
        <v/>
      </c>
      <c r="D43" s="25">
        <f>IF(MOD((12/80*(60/C6)),(60/C6))&lt;(60/C6*C10),C5*60,-(IF(MOD((12/80*(60/C6)),(60/C6))&lt;(60/C6*C10),MIN(C5*MOD((12/80*(60/C6)),(60/C6)),C4),C4*EXP(-(MOD((12/80*(60/C6)),(60/C6))-(60/C6*C10))/(C9*C8))))/(C9*C8)*60)</f>
        <v/>
      </c>
      <c r="E43" s="26">
        <f>(IF(MOD((12/80*(60/C6)),(60/C6))&lt;(60/C6*C10),MIN(C5*MOD((12/80*(60/C6)),(60/C6)),C4),C4*EXP(-(MOD((12/80*(60/C6)),(60/C6))-(60/C6*C10))/(C9*C8))))*1000</f>
        <v/>
      </c>
      <c r="F43" s="25">
        <f>IF(AND(MOD((12/80*(60/C6)),(60/C6))&lt;(60/C6*C10),MOD((12/80*(60/C6)),(60/C6))&lt;C13),-ABS(C12)*SIN(PI()*MOD((12/80*(60/C6)),(60/C6))/C13),0)</f>
        <v/>
      </c>
      <c r="G43" s="25">
        <f>C7*(C11/(C8+C11))+(E43/1000)/C11+F43</f>
        <v/>
      </c>
      <c r="H43" s="25">
        <f>C43-G43</f>
        <v/>
      </c>
      <c r="I43" s="25">
        <f>C7+(E43/1000)/C8</f>
        <v/>
      </c>
    </row>
    <row r="44" ht="12.95" customHeight="1" s="44">
      <c r="B44" s="27">
        <f>(13/80*(60/C6))</f>
        <v/>
      </c>
      <c r="C44" s="27">
        <f>IF(MOD((13/80*(60/C6)),(60/C6))&lt;(60/C6*C10),C7+(IF(MOD((13/80*(60/C6)),(60/C6))&lt;(60/C6*C10),MIN(C5*MOD((13/80*(60/C6)),(60/C6)),C4),C4*EXP(-(MOD((13/80*(60/C6)),(60/C6))-(60/C6*C10))/(C9*C8))))/C8+C5*C9-F44,C7+(IF(MOD((13/80*(60/C6)),(60/C6))&lt;(60/C6*C10),MIN(C5*MOD((13/80*(60/C6)),(60/C6)),C4),C4*EXP(-(MOD((13/80*(60/C6)),(60/C6))-(60/C6*C10))/(C9*C8))))/C8)</f>
        <v/>
      </c>
      <c r="D44" s="27">
        <f>IF(MOD((13/80*(60/C6)),(60/C6))&lt;(60/C6*C10),C5*60,-(IF(MOD((13/80*(60/C6)),(60/C6))&lt;(60/C6*C10),MIN(C5*MOD((13/80*(60/C6)),(60/C6)),C4),C4*EXP(-(MOD((13/80*(60/C6)),(60/C6))-(60/C6*C10))/(C9*C8))))/(C9*C8)*60)</f>
        <v/>
      </c>
      <c r="E44" s="28">
        <f>(IF(MOD((13/80*(60/C6)),(60/C6))&lt;(60/C6*C10),MIN(C5*MOD((13/80*(60/C6)),(60/C6)),C4),C4*EXP(-(MOD((13/80*(60/C6)),(60/C6))-(60/C6*C10))/(C9*C8))))*1000</f>
        <v/>
      </c>
      <c r="F44" s="27">
        <f>IF(AND(MOD((13/80*(60/C6)),(60/C6))&lt;(60/C6*C10),MOD((13/80*(60/C6)),(60/C6))&lt;C13),-ABS(C12)*SIN(PI()*MOD((13/80*(60/C6)),(60/C6))/C13),0)</f>
        <v/>
      </c>
      <c r="G44" s="27">
        <f>C7*(C11/(C8+C11))+(E44/1000)/C11+F44</f>
        <v/>
      </c>
      <c r="H44" s="27">
        <f>C44-G44</f>
        <v/>
      </c>
      <c r="I44" s="27">
        <f>C7+(E44/1000)/C8</f>
        <v/>
      </c>
    </row>
    <row r="45" ht="12.95" customHeight="1" s="44">
      <c r="B45" s="25">
        <f>(14/80*(60/C6))</f>
        <v/>
      </c>
      <c r="C45" s="25">
        <f>IF(MOD((14/80*(60/C6)),(60/C6))&lt;(60/C6*C10),C7+(IF(MOD((14/80*(60/C6)),(60/C6))&lt;(60/C6*C10),MIN(C5*MOD((14/80*(60/C6)),(60/C6)),C4),C4*EXP(-(MOD((14/80*(60/C6)),(60/C6))-(60/C6*C10))/(C9*C8))))/C8+C5*C9-F45,C7+(IF(MOD((14/80*(60/C6)),(60/C6))&lt;(60/C6*C10),MIN(C5*MOD((14/80*(60/C6)),(60/C6)),C4),C4*EXP(-(MOD((14/80*(60/C6)),(60/C6))-(60/C6*C10))/(C9*C8))))/C8)</f>
        <v/>
      </c>
      <c r="D45" s="25">
        <f>IF(MOD((14/80*(60/C6)),(60/C6))&lt;(60/C6*C10),C5*60,-(IF(MOD((14/80*(60/C6)),(60/C6))&lt;(60/C6*C10),MIN(C5*MOD((14/80*(60/C6)),(60/C6)),C4),C4*EXP(-(MOD((14/80*(60/C6)),(60/C6))-(60/C6*C10))/(C9*C8))))/(C9*C8)*60)</f>
        <v/>
      </c>
      <c r="E45" s="26">
        <f>(IF(MOD((14/80*(60/C6)),(60/C6))&lt;(60/C6*C10),MIN(C5*MOD((14/80*(60/C6)),(60/C6)),C4),C4*EXP(-(MOD((14/80*(60/C6)),(60/C6))-(60/C6*C10))/(C9*C8))))*1000</f>
        <v/>
      </c>
      <c r="F45" s="25">
        <f>IF(AND(MOD((14/80*(60/C6)),(60/C6))&lt;(60/C6*C10),MOD((14/80*(60/C6)),(60/C6))&lt;C13),-ABS(C12)*SIN(PI()*MOD((14/80*(60/C6)),(60/C6))/C13),0)</f>
        <v/>
      </c>
      <c r="G45" s="25">
        <f>C7*(C11/(C8+C11))+(E45/1000)/C11+F45</f>
        <v/>
      </c>
      <c r="H45" s="25">
        <f>C45-G45</f>
        <v/>
      </c>
      <c r="I45" s="25">
        <f>C7+(E45/1000)/C8</f>
        <v/>
      </c>
    </row>
    <row r="46" ht="12.95" customHeight="1" s="44">
      <c r="B46" s="27">
        <f>(15/80*(60/C6))</f>
        <v/>
      </c>
      <c r="C46" s="27">
        <f>IF(MOD((15/80*(60/C6)),(60/C6))&lt;(60/C6*C10),C7+(IF(MOD((15/80*(60/C6)),(60/C6))&lt;(60/C6*C10),MIN(C5*MOD((15/80*(60/C6)),(60/C6)),C4),C4*EXP(-(MOD((15/80*(60/C6)),(60/C6))-(60/C6*C10))/(C9*C8))))/C8+C5*C9-F46,C7+(IF(MOD((15/80*(60/C6)),(60/C6))&lt;(60/C6*C10),MIN(C5*MOD((15/80*(60/C6)),(60/C6)),C4),C4*EXP(-(MOD((15/80*(60/C6)),(60/C6))-(60/C6*C10))/(C9*C8))))/C8)</f>
        <v/>
      </c>
      <c r="D46" s="27">
        <f>IF(MOD((15/80*(60/C6)),(60/C6))&lt;(60/C6*C10),C5*60,-(IF(MOD((15/80*(60/C6)),(60/C6))&lt;(60/C6*C10),MIN(C5*MOD((15/80*(60/C6)),(60/C6)),C4),C4*EXP(-(MOD((15/80*(60/C6)),(60/C6))-(60/C6*C10))/(C9*C8))))/(C9*C8)*60)</f>
        <v/>
      </c>
      <c r="E46" s="28">
        <f>(IF(MOD((15/80*(60/C6)),(60/C6))&lt;(60/C6*C10),MIN(C5*MOD((15/80*(60/C6)),(60/C6)),C4),C4*EXP(-(MOD((15/80*(60/C6)),(60/C6))-(60/C6*C10))/(C9*C8))))*1000</f>
        <v/>
      </c>
      <c r="F46" s="27">
        <f>IF(AND(MOD((15/80*(60/C6)),(60/C6))&lt;(60/C6*C10),MOD((15/80*(60/C6)),(60/C6))&lt;C13),-ABS(C12)*SIN(PI()*MOD((15/80*(60/C6)),(60/C6))/C13),0)</f>
        <v/>
      </c>
      <c r="G46" s="27">
        <f>C7*(C11/(C8+C11))+(E46/1000)/C11+F46</f>
        <v/>
      </c>
      <c r="H46" s="27">
        <f>C46-G46</f>
        <v/>
      </c>
      <c r="I46" s="27">
        <f>C7+(E46/1000)/C8</f>
        <v/>
      </c>
    </row>
    <row r="47" ht="12.95" customHeight="1" s="44">
      <c r="B47" s="25">
        <f>(16/80*(60/C6))</f>
        <v/>
      </c>
      <c r="C47" s="25">
        <f>IF(MOD((16/80*(60/C6)),(60/C6))&lt;(60/C6*C10),C7+(IF(MOD((16/80*(60/C6)),(60/C6))&lt;(60/C6*C10),MIN(C5*MOD((16/80*(60/C6)),(60/C6)),C4),C4*EXP(-(MOD((16/80*(60/C6)),(60/C6))-(60/C6*C10))/(C9*C8))))/C8+C5*C9-F47,C7+(IF(MOD((16/80*(60/C6)),(60/C6))&lt;(60/C6*C10),MIN(C5*MOD((16/80*(60/C6)),(60/C6)),C4),C4*EXP(-(MOD((16/80*(60/C6)),(60/C6))-(60/C6*C10))/(C9*C8))))/C8)</f>
        <v/>
      </c>
      <c r="D47" s="25">
        <f>IF(MOD((16/80*(60/C6)),(60/C6))&lt;(60/C6*C10),C5*60,-(IF(MOD((16/80*(60/C6)),(60/C6))&lt;(60/C6*C10),MIN(C5*MOD((16/80*(60/C6)),(60/C6)),C4),C4*EXP(-(MOD((16/80*(60/C6)),(60/C6))-(60/C6*C10))/(C9*C8))))/(C9*C8)*60)</f>
        <v/>
      </c>
      <c r="E47" s="26">
        <f>(IF(MOD((16/80*(60/C6)),(60/C6))&lt;(60/C6*C10),MIN(C5*MOD((16/80*(60/C6)),(60/C6)),C4),C4*EXP(-(MOD((16/80*(60/C6)),(60/C6))-(60/C6*C10))/(C9*C8))))*1000</f>
        <v/>
      </c>
      <c r="F47" s="25">
        <f>IF(AND(MOD((16/80*(60/C6)),(60/C6))&lt;(60/C6*C10),MOD((16/80*(60/C6)),(60/C6))&lt;C13),-ABS(C12)*SIN(PI()*MOD((16/80*(60/C6)),(60/C6))/C13),0)</f>
        <v/>
      </c>
      <c r="G47" s="25">
        <f>C7*(C11/(C8+C11))+(E47/1000)/C11+F47</f>
        <v/>
      </c>
      <c r="H47" s="25">
        <f>C47-G47</f>
        <v/>
      </c>
      <c r="I47" s="25">
        <f>C7+(E47/1000)/C8</f>
        <v/>
      </c>
    </row>
    <row r="48" ht="12.95" customHeight="1" s="44">
      <c r="B48" s="27">
        <f>(17/80*(60/C6))</f>
        <v/>
      </c>
      <c r="C48" s="27">
        <f>IF(MOD((17/80*(60/C6)),(60/C6))&lt;(60/C6*C10),C7+(IF(MOD((17/80*(60/C6)),(60/C6))&lt;(60/C6*C10),MIN(C5*MOD((17/80*(60/C6)),(60/C6)),C4),C4*EXP(-(MOD((17/80*(60/C6)),(60/C6))-(60/C6*C10))/(C9*C8))))/C8+C5*C9-F48,C7+(IF(MOD((17/80*(60/C6)),(60/C6))&lt;(60/C6*C10),MIN(C5*MOD((17/80*(60/C6)),(60/C6)),C4),C4*EXP(-(MOD((17/80*(60/C6)),(60/C6))-(60/C6*C10))/(C9*C8))))/C8)</f>
        <v/>
      </c>
      <c r="D48" s="27">
        <f>IF(MOD((17/80*(60/C6)),(60/C6))&lt;(60/C6*C10),C5*60,-(IF(MOD((17/80*(60/C6)),(60/C6))&lt;(60/C6*C10),MIN(C5*MOD((17/80*(60/C6)),(60/C6)),C4),C4*EXP(-(MOD((17/80*(60/C6)),(60/C6))-(60/C6*C10))/(C9*C8))))/(C9*C8)*60)</f>
        <v/>
      </c>
      <c r="E48" s="28">
        <f>(IF(MOD((17/80*(60/C6)),(60/C6))&lt;(60/C6*C10),MIN(C5*MOD((17/80*(60/C6)),(60/C6)),C4),C4*EXP(-(MOD((17/80*(60/C6)),(60/C6))-(60/C6*C10))/(C9*C8))))*1000</f>
        <v/>
      </c>
      <c r="F48" s="27">
        <f>IF(AND(MOD((17/80*(60/C6)),(60/C6))&lt;(60/C6*C10),MOD((17/80*(60/C6)),(60/C6))&lt;C13),-ABS(C12)*SIN(PI()*MOD((17/80*(60/C6)),(60/C6))/C13),0)</f>
        <v/>
      </c>
      <c r="G48" s="27">
        <f>C7*(C11/(C8+C11))+(E48/1000)/C11+F48</f>
        <v/>
      </c>
      <c r="H48" s="27">
        <f>C48-G48</f>
        <v/>
      </c>
      <c r="I48" s="27">
        <f>C7+(E48/1000)/C8</f>
        <v/>
      </c>
    </row>
    <row r="49" ht="12.95" customHeight="1" s="44">
      <c r="B49" s="25">
        <f>(18/80*(60/C6))</f>
        <v/>
      </c>
      <c r="C49" s="25">
        <f>IF(MOD((18/80*(60/C6)),(60/C6))&lt;(60/C6*C10),C7+(IF(MOD((18/80*(60/C6)),(60/C6))&lt;(60/C6*C10),MIN(C5*MOD((18/80*(60/C6)),(60/C6)),C4),C4*EXP(-(MOD((18/80*(60/C6)),(60/C6))-(60/C6*C10))/(C9*C8))))/C8+C5*C9-F49,C7+(IF(MOD((18/80*(60/C6)),(60/C6))&lt;(60/C6*C10),MIN(C5*MOD((18/80*(60/C6)),(60/C6)),C4),C4*EXP(-(MOD((18/80*(60/C6)),(60/C6))-(60/C6*C10))/(C9*C8))))/C8)</f>
        <v/>
      </c>
      <c r="D49" s="25">
        <f>IF(MOD((18/80*(60/C6)),(60/C6))&lt;(60/C6*C10),C5*60,-(IF(MOD((18/80*(60/C6)),(60/C6))&lt;(60/C6*C10),MIN(C5*MOD((18/80*(60/C6)),(60/C6)),C4),C4*EXP(-(MOD((18/80*(60/C6)),(60/C6))-(60/C6*C10))/(C9*C8))))/(C9*C8)*60)</f>
        <v/>
      </c>
      <c r="E49" s="26">
        <f>(IF(MOD((18/80*(60/C6)),(60/C6))&lt;(60/C6*C10),MIN(C5*MOD((18/80*(60/C6)),(60/C6)),C4),C4*EXP(-(MOD((18/80*(60/C6)),(60/C6))-(60/C6*C10))/(C9*C8))))*1000</f>
        <v/>
      </c>
      <c r="F49" s="25">
        <f>IF(AND(MOD((18/80*(60/C6)),(60/C6))&lt;(60/C6*C10),MOD((18/80*(60/C6)),(60/C6))&lt;C13),-ABS(C12)*SIN(PI()*MOD((18/80*(60/C6)),(60/C6))/C13),0)</f>
        <v/>
      </c>
      <c r="G49" s="25">
        <f>C7*(C11/(C8+C11))+(E49/1000)/C11+F49</f>
        <v/>
      </c>
      <c r="H49" s="25">
        <f>C49-G49</f>
        <v/>
      </c>
      <c r="I49" s="25">
        <f>C7+(E49/1000)/C8</f>
        <v/>
      </c>
    </row>
    <row r="50" ht="12.95" customHeight="1" s="44">
      <c r="B50" s="27">
        <f>(19/80*(60/C6))</f>
        <v/>
      </c>
      <c r="C50" s="27">
        <f>IF(MOD((19/80*(60/C6)),(60/C6))&lt;(60/C6*C10),C7+(IF(MOD((19/80*(60/C6)),(60/C6))&lt;(60/C6*C10),MIN(C5*MOD((19/80*(60/C6)),(60/C6)),C4),C4*EXP(-(MOD((19/80*(60/C6)),(60/C6))-(60/C6*C10))/(C9*C8))))/C8+C5*C9-F50,C7+(IF(MOD((19/80*(60/C6)),(60/C6))&lt;(60/C6*C10),MIN(C5*MOD((19/80*(60/C6)),(60/C6)),C4),C4*EXP(-(MOD((19/80*(60/C6)),(60/C6))-(60/C6*C10))/(C9*C8))))/C8)</f>
        <v/>
      </c>
      <c r="D50" s="27">
        <f>IF(MOD((19/80*(60/C6)),(60/C6))&lt;(60/C6*C10),C5*60,-(IF(MOD((19/80*(60/C6)),(60/C6))&lt;(60/C6*C10),MIN(C5*MOD((19/80*(60/C6)),(60/C6)),C4),C4*EXP(-(MOD((19/80*(60/C6)),(60/C6))-(60/C6*C10))/(C9*C8))))/(C9*C8)*60)</f>
        <v/>
      </c>
      <c r="E50" s="28">
        <f>(IF(MOD((19/80*(60/C6)),(60/C6))&lt;(60/C6*C10),MIN(C5*MOD((19/80*(60/C6)),(60/C6)),C4),C4*EXP(-(MOD((19/80*(60/C6)),(60/C6))-(60/C6*C10))/(C9*C8))))*1000</f>
        <v/>
      </c>
      <c r="F50" s="27">
        <f>IF(AND(MOD((19/80*(60/C6)),(60/C6))&lt;(60/C6*C10),MOD((19/80*(60/C6)),(60/C6))&lt;C13),-ABS(C12)*SIN(PI()*MOD((19/80*(60/C6)),(60/C6))/C13),0)</f>
        <v/>
      </c>
      <c r="G50" s="27">
        <f>C7*(C11/(C8+C11))+(E50/1000)/C11+F50</f>
        <v/>
      </c>
      <c r="H50" s="27">
        <f>C50-G50</f>
        <v/>
      </c>
      <c r="I50" s="27">
        <f>C7+(E50/1000)/C8</f>
        <v/>
      </c>
    </row>
    <row r="51" ht="12.95" customHeight="1" s="44">
      <c r="B51" s="25">
        <f>(20/80*(60/C6))</f>
        <v/>
      </c>
      <c r="C51" s="25">
        <f>IF(MOD((20/80*(60/C6)),(60/C6))&lt;(60/C6*C10),C7+(IF(MOD((20/80*(60/C6)),(60/C6))&lt;(60/C6*C10),MIN(C5*MOD((20/80*(60/C6)),(60/C6)),C4),C4*EXP(-(MOD((20/80*(60/C6)),(60/C6))-(60/C6*C10))/(C9*C8))))/C8+C5*C9-F51,C7+(IF(MOD((20/80*(60/C6)),(60/C6))&lt;(60/C6*C10),MIN(C5*MOD((20/80*(60/C6)),(60/C6)),C4),C4*EXP(-(MOD((20/80*(60/C6)),(60/C6))-(60/C6*C10))/(C9*C8))))/C8)</f>
        <v/>
      </c>
      <c r="D51" s="25">
        <f>IF(MOD((20/80*(60/C6)),(60/C6))&lt;(60/C6*C10),C5*60,-(IF(MOD((20/80*(60/C6)),(60/C6))&lt;(60/C6*C10),MIN(C5*MOD((20/80*(60/C6)),(60/C6)),C4),C4*EXP(-(MOD((20/80*(60/C6)),(60/C6))-(60/C6*C10))/(C9*C8))))/(C9*C8)*60)</f>
        <v/>
      </c>
      <c r="E51" s="26">
        <f>(IF(MOD((20/80*(60/C6)),(60/C6))&lt;(60/C6*C10),MIN(C5*MOD((20/80*(60/C6)),(60/C6)),C4),C4*EXP(-(MOD((20/80*(60/C6)),(60/C6))-(60/C6*C10))/(C9*C8))))*1000</f>
        <v/>
      </c>
      <c r="F51" s="25">
        <f>IF(AND(MOD((20/80*(60/C6)),(60/C6))&lt;(60/C6*C10),MOD((20/80*(60/C6)),(60/C6))&lt;C13),-ABS(C12)*SIN(PI()*MOD((20/80*(60/C6)),(60/C6))/C13),0)</f>
        <v/>
      </c>
      <c r="G51" s="25">
        <f>C7*(C11/(C8+C11))+(E51/1000)/C11+F51</f>
        <v/>
      </c>
      <c r="H51" s="25">
        <f>C51-G51</f>
        <v/>
      </c>
      <c r="I51" s="25">
        <f>C7+(E51/1000)/C8</f>
        <v/>
      </c>
    </row>
    <row r="52" ht="12.95" customHeight="1" s="44">
      <c r="B52" s="27">
        <f>(21/80*(60/C6))</f>
        <v/>
      </c>
      <c r="C52" s="27">
        <f>IF(MOD((21/80*(60/C6)),(60/C6))&lt;(60/C6*C10),C7+(IF(MOD((21/80*(60/C6)),(60/C6))&lt;(60/C6*C10),MIN(C5*MOD((21/80*(60/C6)),(60/C6)),C4),C4*EXP(-(MOD((21/80*(60/C6)),(60/C6))-(60/C6*C10))/(C9*C8))))/C8+C5*C9-F52,C7+(IF(MOD((21/80*(60/C6)),(60/C6))&lt;(60/C6*C10),MIN(C5*MOD((21/80*(60/C6)),(60/C6)),C4),C4*EXP(-(MOD((21/80*(60/C6)),(60/C6))-(60/C6*C10))/(C9*C8))))/C8)</f>
        <v/>
      </c>
      <c r="D52" s="27">
        <f>IF(MOD((21/80*(60/C6)),(60/C6))&lt;(60/C6*C10),C5*60,-(IF(MOD((21/80*(60/C6)),(60/C6))&lt;(60/C6*C10),MIN(C5*MOD((21/80*(60/C6)),(60/C6)),C4),C4*EXP(-(MOD((21/80*(60/C6)),(60/C6))-(60/C6*C10))/(C9*C8))))/(C9*C8)*60)</f>
        <v/>
      </c>
      <c r="E52" s="28">
        <f>(IF(MOD((21/80*(60/C6)),(60/C6))&lt;(60/C6*C10),MIN(C5*MOD((21/80*(60/C6)),(60/C6)),C4),C4*EXP(-(MOD((21/80*(60/C6)),(60/C6))-(60/C6*C10))/(C9*C8))))*1000</f>
        <v/>
      </c>
      <c r="F52" s="27">
        <f>IF(AND(MOD((21/80*(60/C6)),(60/C6))&lt;(60/C6*C10),MOD((21/80*(60/C6)),(60/C6))&lt;C13),-ABS(C12)*SIN(PI()*MOD((21/80*(60/C6)),(60/C6))/C13),0)</f>
        <v/>
      </c>
      <c r="G52" s="27">
        <f>C7*(C11/(C8+C11))+(E52/1000)/C11+F52</f>
        <v/>
      </c>
      <c r="H52" s="27">
        <f>C52-G52</f>
        <v/>
      </c>
      <c r="I52" s="27">
        <f>C7+(E52/1000)/C8</f>
        <v/>
      </c>
    </row>
    <row r="53" ht="12.95" customHeight="1" s="44">
      <c r="B53" s="25">
        <f>(22/80*(60/C6))</f>
        <v/>
      </c>
      <c r="C53" s="25">
        <f>IF(MOD((22/80*(60/C6)),(60/C6))&lt;(60/C6*C10),C7+(IF(MOD((22/80*(60/C6)),(60/C6))&lt;(60/C6*C10),MIN(C5*MOD((22/80*(60/C6)),(60/C6)),C4),C4*EXP(-(MOD((22/80*(60/C6)),(60/C6))-(60/C6*C10))/(C9*C8))))/C8+C5*C9-F53,C7+(IF(MOD((22/80*(60/C6)),(60/C6))&lt;(60/C6*C10),MIN(C5*MOD((22/80*(60/C6)),(60/C6)),C4),C4*EXP(-(MOD((22/80*(60/C6)),(60/C6))-(60/C6*C10))/(C9*C8))))/C8)</f>
        <v/>
      </c>
      <c r="D53" s="25">
        <f>IF(MOD((22/80*(60/C6)),(60/C6))&lt;(60/C6*C10),C5*60,-(IF(MOD((22/80*(60/C6)),(60/C6))&lt;(60/C6*C10),MIN(C5*MOD((22/80*(60/C6)),(60/C6)),C4),C4*EXP(-(MOD((22/80*(60/C6)),(60/C6))-(60/C6*C10))/(C9*C8))))/(C9*C8)*60)</f>
        <v/>
      </c>
      <c r="E53" s="26">
        <f>(IF(MOD((22/80*(60/C6)),(60/C6))&lt;(60/C6*C10),MIN(C5*MOD((22/80*(60/C6)),(60/C6)),C4),C4*EXP(-(MOD((22/80*(60/C6)),(60/C6))-(60/C6*C10))/(C9*C8))))*1000</f>
        <v/>
      </c>
      <c r="F53" s="25">
        <f>IF(AND(MOD((22/80*(60/C6)),(60/C6))&lt;(60/C6*C10),MOD((22/80*(60/C6)),(60/C6))&lt;C13),-ABS(C12)*SIN(PI()*MOD((22/80*(60/C6)),(60/C6))/C13),0)</f>
        <v/>
      </c>
      <c r="G53" s="25">
        <f>C7*(C11/(C8+C11))+(E53/1000)/C11+F53</f>
        <v/>
      </c>
      <c r="H53" s="25">
        <f>C53-G53</f>
        <v/>
      </c>
      <c r="I53" s="25">
        <f>C7+(E53/1000)/C8</f>
        <v/>
      </c>
    </row>
    <row r="54" ht="12.95" customHeight="1" s="44">
      <c r="B54" s="27">
        <f>(23/80*(60/C6))</f>
        <v/>
      </c>
      <c r="C54" s="27">
        <f>IF(MOD((23/80*(60/C6)),(60/C6))&lt;(60/C6*C10),C7+(IF(MOD((23/80*(60/C6)),(60/C6))&lt;(60/C6*C10),MIN(C5*MOD((23/80*(60/C6)),(60/C6)),C4),C4*EXP(-(MOD((23/80*(60/C6)),(60/C6))-(60/C6*C10))/(C9*C8))))/C8+C5*C9-F54,C7+(IF(MOD((23/80*(60/C6)),(60/C6))&lt;(60/C6*C10),MIN(C5*MOD((23/80*(60/C6)),(60/C6)),C4),C4*EXP(-(MOD((23/80*(60/C6)),(60/C6))-(60/C6*C10))/(C9*C8))))/C8)</f>
        <v/>
      </c>
      <c r="D54" s="27">
        <f>IF(MOD((23/80*(60/C6)),(60/C6))&lt;(60/C6*C10),C5*60,-(IF(MOD((23/80*(60/C6)),(60/C6))&lt;(60/C6*C10),MIN(C5*MOD((23/80*(60/C6)),(60/C6)),C4),C4*EXP(-(MOD((23/80*(60/C6)),(60/C6))-(60/C6*C10))/(C9*C8))))/(C9*C8)*60)</f>
        <v/>
      </c>
      <c r="E54" s="28">
        <f>(IF(MOD((23/80*(60/C6)),(60/C6))&lt;(60/C6*C10),MIN(C5*MOD((23/80*(60/C6)),(60/C6)),C4),C4*EXP(-(MOD((23/80*(60/C6)),(60/C6))-(60/C6*C10))/(C9*C8))))*1000</f>
        <v/>
      </c>
      <c r="F54" s="27">
        <f>IF(AND(MOD((23/80*(60/C6)),(60/C6))&lt;(60/C6*C10),MOD((23/80*(60/C6)),(60/C6))&lt;C13),-ABS(C12)*SIN(PI()*MOD((23/80*(60/C6)),(60/C6))/C13),0)</f>
        <v/>
      </c>
      <c r="G54" s="27">
        <f>C7*(C11/(C8+C11))+(E54/1000)/C11+F54</f>
        <v/>
      </c>
      <c r="H54" s="27">
        <f>C54-G54</f>
        <v/>
      </c>
      <c r="I54" s="27">
        <f>C7+(E54/1000)/C8</f>
        <v/>
      </c>
    </row>
    <row r="55" ht="12.95" customHeight="1" s="44">
      <c r="B55" s="25">
        <f>(24/80*(60/C6))</f>
        <v/>
      </c>
      <c r="C55" s="25">
        <f>IF(MOD((24/80*(60/C6)),(60/C6))&lt;(60/C6*C10),C7+(IF(MOD((24/80*(60/C6)),(60/C6))&lt;(60/C6*C10),MIN(C5*MOD((24/80*(60/C6)),(60/C6)),C4),C4*EXP(-(MOD((24/80*(60/C6)),(60/C6))-(60/C6*C10))/(C9*C8))))/C8+C5*C9-F55,C7+(IF(MOD((24/80*(60/C6)),(60/C6))&lt;(60/C6*C10),MIN(C5*MOD((24/80*(60/C6)),(60/C6)),C4),C4*EXP(-(MOD((24/80*(60/C6)),(60/C6))-(60/C6*C10))/(C9*C8))))/C8)</f>
        <v/>
      </c>
      <c r="D55" s="25">
        <f>IF(MOD((24/80*(60/C6)),(60/C6))&lt;(60/C6*C10),C5*60,-(IF(MOD((24/80*(60/C6)),(60/C6))&lt;(60/C6*C10),MIN(C5*MOD((24/80*(60/C6)),(60/C6)),C4),C4*EXP(-(MOD((24/80*(60/C6)),(60/C6))-(60/C6*C10))/(C9*C8))))/(C9*C8)*60)</f>
        <v/>
      </c>
      <c r="E55" s="26">
        <f>(IF(MOD((24/80*(60/C6)),(60/C6))&lt;(60/C6*C10),MIN(C5*MOD((24/80*(60/C6)),(60/C6)),C4),C4*EXP(-(MOD((24/80*(60/C6)),(60/C6))-(60/C6*C10))/(C9*C8))))*1000</f>
        <v/>
      </c>
      <c r="F55" s="25">
        <f>IF(AND(MOD((24/80*(60/C6)),(60/C6))&lt;(60/C6*C10),MOD((24/80*(60/C6)),(60/C6))&lt;C13),-ABS(C12)*SIN(PI()*MOD((24/80*(60/C6)),(60/C6))/C13),0)</f>
        <v/>
      </c>
      <c r="G55" s="25">
        <f>C7*(C11/(C8+C11))+(E55/1000)/C11+F55</f>
        <v/>
      </c>
      <c r="H55" s="25">
        <f>C55-G55</f>
        <v/>
      </c>
      <c r="I55" s="25">
        <f>C7+(E55/1000)/C8</f>
        <v/>
      </c>
    </row>
    <row r="56" ht="12.95" customHeight="1" s="44">
      <c r="B56" s="27">
        <f>(25/80*(60/C6))</f>
        <v/>
      </c>
      <c r="C56" s="27">
        <f>IF(MOD((25/80*(60/C6)),(60/C6))&lt;(60/C6*C10),C7+(IF(MOD((25/80*(60/C6)),(60/C6))&lt;(60/C6*C10),MIN(C5*MOD((25/80*(60/C6)),(60/C6)),C4),C4*EXP(-(MOD((25/80*(60/C6)),(60/C6))-(60/C6*C10))/(C9*C8))))/C8+C5*C9-F56,C7+(IF(MOD((25/80*(60/C6)),(60/C6))&lt;(60/C6*C10),MIN(C5*MOD((25/80*(60/C6)),(60/C6)),C4),C4*EXP(-(MOD((25/80*(60/C6)),(60/C6))-(60/C6*C10))/(C9*C8))))/C8)</f>
        <v/>
      </c>
      <c r="D56" s="27">
        <f>IF(MOD((25/80*(60/C6)),(60/C6))&lt;(60/C6*C10),C5*60,-(IF(MOD((25/80*(60/C6)),(60/C6))&lt;(60/C6*C10),MIN(C5*MOD((25/80*(60/C6)),(60/C6)),C4),C4*EXP(-(MOD((25/80*(60/C6)),(60/C6))-(60/C6*C10))/(C9*C8))))/(C9*C8)*60)</f>
        <v/>
      </c>
      <c r="E56" s="28">
        <f>(IF(MOD((25/80*(60/C6)),(60/C6))&lt;(60/C6*C10),MIN(C5*MOD((25/80*(60/C6)),(60/C6)),C4),C4*EXP(-(MOD((25/80*(60/C6)),(60/C6))-(60/C6*C10))/(C9*C8))))*1000</f>
        <v/>
      </c>
      <c r="F56" s="27">
        <f>IF(AND(MOD((25/80*(60/C6)),(60/C6))&lt;(60/C6*C10),MOD((25/80*(60/C6)),(60/C6))&lt;C13),-ABS(C12)*SIN(PI()*MOD((25/80*(60/C6)),(60/C6))/C13),0)</f>
        <v/>
      </c>
      <c r="G56" s="27">
        <f>C7*(C11/(C8+C11))+(E56/1000)/C11+F56</f>
        <v/>
      </c>
      <c r="H56" s="27">
        <f>C56-G56</f>
        <v/>
      </c>
      <c r="I56" s="27">
        <f>C7+(E56/1000)/C8</f>
        <v/>
      </c>
    </row>
    <row r="57" ht="12.95" customHeight="1" s="44">
      <c r="B57" s="25">
        <f>(26/80*(60/C6))</f>
        <v/>
      </c>
      <c r="C57" s="25">
        <f>IF(MOD((26/80*(60/C6)),(60/C6))&lt;(60/C6*C10),C7+(IF(MOD((26/80*(60/C6)),(60/C6))&lt;(60/C6*C10),MIN(C5*MOD((26/80*(60/C6)),(60/C6)),C4),C4*EXP(-(MOD((26/80*(60/C6)),(60/C6))-(60/C6*C10))/(C9*C8))))/C8+C5*C9-F57,C7+(IF(MOD((26/80*(60/C6)),(60/C6))&lt;(60/C6*C10),MIN(C5*MOD((26/80*(60/C6)),(60/C6)),C4),C4*EXP(-(MOD((26/80*(60/C6)),(60/C6))-(60/C6*C10))/(C9*C8))))/C8)</f>
        <v/>
      </c>
      <c r="D57" s="25">
        <f>IF(MOD((26/80*(60/C6)),(60/C6))&lt;(60/C6*C10),C5*60,-(IF(MOD((26/80*(60/C6)),(60/C6))&lt;(60/C6*C10),MIN(C5*MOD((26/80*(60/C6)),(60/C6)),C4),C4*EXP(-(MOD((26/80*(60/C6)),(60/C6))-(60/C6*C10))/(C9*C8))))/(C9*C8)*60)</f>
        <v/>
      </c>
      <c r="E57" s="26">
        <f>(IF(MOD((26/80*(60/C6)),(60/C6))&lt;(60/C6*C10),MIN(C5*MOD((26/80*(60/C6)),(60/C6)),C4),C4*EXP(-(MOD((26/80*(60/C6)),(60/C6))-(60/C6*C10))/(C9*C8))))*1000</f>
        <v/>
      </c>
      <c r="F57" s="25">
        <f>IF(AND(MOD((26/80*(60/C6)),(60/C6))&lt;(60/C6*C10),MOD((26/80*(60/C6)),(60/C6))&lt;C13),-ABS(C12)*SIN(PI()*MOD((26/80*(60/C6)),(60/C6))/C13),0)</f>
        <v/>
      </c>
      <c r="G57" s="25">
        <f>C7*(C11/(C8+C11))+(E57/1000)/C11+F57</f>
        <v/>
      </c>
      <c r="H57" s="25">
        <f>C57-G57</f>
        <v/>
      </c>
      <c r="I57" s="25">
        <f>C7+(E57/1000)/C8</f>
        <v/>
      </c>
    </row>
    <row r="58" ht="12.95" customHeight="1" s="44">
      <c r="B58" s="27">
        <f>(27/80*(60/C6))</f>
        <v/>
      </c>
      <c r="C58" s="27">
        <f>IF(MOD((27/80*(60/C6)),(60/C6))&lt;(60/C6*C10),C7+(IF(MOD((27/80*(60/C6)),(60/C6))&lt;(60/C6*C10),MIN(C5*MOD((27/80*(60/C6)),(60/C6)),C4),C4*EXP(-(MOD((27/80*(60/C6)),(60/C6))-(60/C6*C10))/(C9*C8))))/C8+C5*C9-F58,C7+(IF(MOD((27/80*(60/C6)),(60/C6))&lt;(60/C6*C10),MIN(C5*MOD((27/80*(60/C6)),(60/C6)),C4),C4*EXP(-(MOD((27/80*(60/C6)),(60/C6))-(60/C6*C10))/(C9*C8))))/C8)</f>
        <v/>
      </c>
      <c r="D58" s="27">
        <f>IF(MOD((27/80*(60/C6)),(60/C6))&lt;(60/C6*C10),C5*60,-(IF(MOD((27/80*(60/C6)),(60/C6))&lt;(60/C6*C10),MIN(C5*MOD((27/80*(60/C6)),(60/C6)),C4),C4*EXP(-(MOD((27/80*(60/C6)),(60/C6))-(60/C6*C10))/(C9*C8))))/(C9*C8)*60)</f>
        <v/>
      </c>
      <c r="E58" s="28">
        <f>(IF(MOD((27/80*(60/C6)),(60/C6))&lt;(60/C6*C10),MIN(C5*MOD((27/80*(60/C6)),(60/C6)),C4),C4*EXP(-(MOD((27/80*(60/C6)),(60/C6))-(60/C6*C10))/(C9*C8))))*1000</f>
        <v/>
      </c>
      <c r="F58" s="27">
        <f>IF(AND(MOD((27/80*(60/C6)),(60/C6))&lt;(60/C6*C10),MOD((27/80*(60/C6)),(60/C6))&lt;C13),-ABS(C12)*SIN(PI()*MOD((27/80*(60/C6)),(60/C6))/C13),0)</f>
        <v/>
      </c>
      <c r="G58" s="27">
        <f>C7*(C11/(C8+C11))+(E58/1000)/C11+F58</f>
        <v/>
      </c>
      <c r="H58" s="27">
        <f>C58-G58</f>
        <v/>
      </c>
      <c r="I58" s="27">
        <f>C7+(E58/1000)/C8</f>
        <v/>
      </c>
    </row>
    <row r="59" ht="12.95" customHeight="1" s="44">
      <c r="B59" s="25">
        <f>(28/80*(60/C6))</f>
        <v/>
      </c>
      <c r="C59" s="25">
        <f>IF(MOD((28/80*(60/C6)),(60/C6))&lt;(60/C6*C10),C7+(IF(MOD((28/80*(60/C6)),(60/C6))&lt;(60/C6*C10),MIN(C5*MOD((28/80*(60/C6)),(60/C6)),C4),C4*EXP(-(MOD((28/80*(60/C6)),(60/C6))-(60/C6*C10))/(C9*C8))))/C8+C5*C9-F59,C7+(IF(MOD((28/80*(60/C6)),(60/C6))&lt;(60/C6*C10),MIN(C5*MOD((28/80*(60/C6)),(60/C6)),C4),C4*EXP(-(MOD((28/80*(60/C6)),(60/C6))-(60/C6*C10))/(C9*C8))))/C8)</f>
        <v/>
      </c>
      <c r="D59" s="25">
        <f>IF(MOD((28/80*(60/C6)),(60/C6))&lt;(60/C6*C10),C5*60,-(IF(MOD((28/80*(60/C6)),(60/C6))&lt;(60/C6*C10),MIN(C5*MOD((28/80*(60/C6)),(60/C6)),C4),C4*EXP(-(MOD((28/80*(60/C6)),(60/C6))-(60/C6*C10))/(C9*C8))))/(C9*C8)*60)</f>
        <v/>
      </c>
      <c r="E59" s="26">
        <f>(IF(MOD((28/80*(60/C6)),(60/C6))&lt;(60/C6*C10),MIN(C5*MOD((28/80*(60/C6)),(60/C6)),C4),C4*EXP(-(MOD((28/80*(60/C6)),(60/C6))-(60/C6*C10))/(C9*C8))))*1000</f>
        <v/>
      </c>
      <c r="F59" s="25">
        <f>IF(AND(MOD((28/80*(60/C6)),(60/C6))&lt;(60/C6*C10),MOD((28/80*(60/C6)),(60/C6))&lt;C13),-ABS(C12)*SIN(PI()*MOD((28/80*(60/C6)),(60/C6))/C13),0)</f>
        <v/>
      </c>
      <c r="G59" s="25">
        <f>C7*(C11/(C8+C11))+(E59/1000)/C11+F59</f>
        <v/>
      </c>
      <c r="H59" s="25">
        <f>C59-G59</f>
        <v/>
      </c>
      <c r="I59" s="25">
        <f>C7+(E59/1000)/C8</f>
        <v/>
      </c>
    </row>
    <row r="60" ht="12.95" customHeight="1" s="44">
      <c r="B60" s="27">
        <f>(29/80*(60/C6))</f>
        <v/>
      </c>
      <c r="C60" s="27">
        <f>IF(MOD((29/80*(60/C6)),(60/C6))&lt;(60/C6*C10),C7+(IF(MOD((29/80*(60/C6)),(60/C6))&lt;(60/C6*C10),MIN(C5*MOD((29/80*(60/C6)),(60/C6)),C4),C4*EXP(-(MOD((29/80*(60/C6)),(60/C6))-(60/C6*C10))/(C9*C8))))/C8+C5*C9-F60,C7+(IF(MOD((29/80*(60/C6)),(60/C6))&lt;(60/C6*C10),MIN(C5*MOD((29/80*(60/C6)),(60/C6)),C4),C4*EXP(-(MOD((29/80*(60/C6)),(60/C6))-(60/C6*C10))/(C9*C8))))/C8)</f>
        <v/>
      </c>
      <c r="D60" s="27">
        <f>IF(MOD((29/80*(60/C6)),(60/C6))&lt;(60/C6*C10),C5*60,-(IF(MOD((29/80*(60/C6)),(60/C6))&lt;(60/C6*C10),MIN(C5*MOD((29/80*(60/C6)),(60/C6)),C4),C4*EXP(-(MOD((29/80*(60/C6)),(60/C6))-(60/C6*C10))/(C9*C8))))/(C9*C8)*60)</f>
        <v/>
      </c>
      <c r="E60" s="28">
        <f>(IF(MOD((29/80*(60/C6)),(60/C6))&lt;(60/C6*C10),MIN(C5*MOD((29/80*(60/C6)),(60/C6)),C4),C4*EXP(-(MOD((29/80*(60/C6)),(60/C6))-(60/C6*C10))/(C9*C8))))*1000</f>
        <v/>
      </c>
      <c r="F60" s="27">
        <f>IF(AND(MOD((29/80*(60/C6)),(60/C6))&lt;(60/C6*C10),MOD((29/80*(60/C6)),(60/C6))&lt;C13),-ABS(C12)*SIN(PI()*MOD((29/80*(60/C6)),(60/C6))/C13),0)</f>
        <v/>
      </c>
      <c r="G60" s="27">
        <f>C7*(C11/(C8+C11))+(E60/1000)/C11+F60</f>
        <v/>
      </c>
      <c r="H60" s="27">
        <f>C60-G60</f>
        <v/>
      </c>
      <c r="I60" s="27">
        <f>C7+(E60/1000)/C8</f>
        <v/>
      </c>
    </row>
    <row r="61" ht="12.95" customHeight="1" s="44">
      <c r="B61" s="25">
        <f>(30/80*(60/C6))</f>
        <v/>
      </c>
      <c r="C61" s="25">
        <f>IF(MOD((30/80*(60/C6)),(60/C6))&lt;(60/C6*C10),C7+(IF(MOD((30/80*(60/C6)),(60/C6))&lt;(60/C6*C10),MIN(C5*MOD((30/80*(60/C6)),(60/C6)),C4),C4*EXP(-(MOD((30/80*(60/C6)),(60/C6))-(60/C6*C10))/(C9*C8))))/C8+C5*C9-F61,C7+(IF(MOD((30/80*(60/C6)),(60/C6))&lt;(60/C6*C10),MIN(C5*MOD((30/80*(60/C6)),(60/C6)),C4),C4*EXP(-(MOD((30/80*(60/C6)),(60/C6))-(60/C6*C10))/(C9*C8))))/C8)</f>
        <v/>
      </c>
      <c r="D61" s="25">
        <f>IF(MOD((30/80*(60/C6)),(60/C6))&lt;(60/C6*C10),C5*60,-(IF(MOD((30/80*(60/C6)),(60/C6))&lt;(60/C6*C10),MIN(C5*MOD((30/80*(60/C6)),(60/C6)),C4),C4*EXP(-(MOD((30/80*(60/C6)),(60/C6))-(60/C6*C10))/(C9*C8))))/(C9*C8)*60)</f>
        <v/>
      </c>
      <c r="E61" s="26">
        <f>(IF(MOD((30/80*(60/C6)),(60/C6))&lt;(60/C6*C10),MIN(C5*MOD((30/80*(60/C6)),(60/C6)),C4),C4*EXP(-(MOD((30/80*(60/C6)),(60/C6))-(60/C6*C10))/(C9*C8))))*1000</f>
        <v/>
      </c>
      <c r="F61" s="25">
        <f>IF(AND(MOD((30/80*(60/C6)),(60/C6))&lt;(60/C6*C10),MOD((30/80*(60/C6)),(60/C6))&lt;C13),-ABS(C12)*SIN(PI()*MOD((30/80*(60/C6)),(60/C6))/C13),0)</f>
        <v/>
      </c>
      <c r="G61" s="25">
        <f>C7*(C11/(C8+C11))+(E61/1000)/C11+F61</f>
        <v/>
      </c>
      <c r="H61" s="25">
        <f>C61-G61</f>
        <v/>
      </c>
      <c r="I61" s="25">
        <f>C7+(E61/1000)/C8</f>
        <v/>
      </c>
    </row>
    <row r="62" ht="12.95" customHeight="1" s="44">
      <c r="B62" s="27">
        <f>(31/80*(60/C6))</f>
        <v/>
      </c>
      <c r="C62" s="27">
        <f>IF(MOD((31/80*(60/C6)),(60/C6))&lt;(60/C6*C10),C7+(IF(MOD((31/80*(60/C6)),(60/C6))&lt;(60/C6*C10),MIN(C5*MOD((31/80*(60/C6)),(60/C6)),C4),C4*EXP(-(MOD((31/80*(60/C6)),(60/C6))-(60/C6*C10))/(C9*C8))))/C8+C5*C9-F62,C7+(IF(MOD((31/80*(60/C6)),(60/C6))&lt;(60/C6*C10),MIN(C5*MOD((31/80*(60/C6)),(60/C6)),C4),C4*EXP(-(MOD((31/80*(60/C6)),(60/C6))-(60/C6*C10))/(C9*C8))))/C8)</f>
        <v/>
      </c>
      <c r="D62" s="27">
        <f>IF(MOD((31/80*(60/C6)),(60/C6))&lt;(60/C6*C10),C5*60,-(IF(MOD((31/80*(60/C6)),(60/C6))&lt;(60/C6*C10),MIN(C5*MOD((31/80*(60/C6)),(60/C6)),C4),C4*EXP(-(MOD((31/80*(60/C6)),(60/C6))-(60/C6*C10))/(C9*C8))))/(C9*C8)*60)</f>
        <v/>
      </c>
      <c r="E62" s="28">
        <f>(IF(MOD((31/80*(60/C6)),(60/C6))&lt;(60/C6*C10),MIN(C5*MOD((31/80*(60/C6)),(60/C6)),C4),C4*EXP(-(MOD((31/80*(60/C6)),(60/C6))-(60/C6*C10))/(C9*C8))))*1000</f>
        <v/>
      </c>
      <c r="F62" s="27">
        <f>IF(AND(MOD((31/80*(60/C6)),(60/C6))&lt;(60/C6*C10),MOD((31/80*(60/C6)),(60/C6))&lt;C13),-ABS(C12)*SIN(PI()*MOD((31/80*(60/C6)),(60/C6))/C13),0)</f>
        <v/>
      </c>
      <c r="G62" s="27">
        <f>C7*(C11/(C8+C11))+(E62/1000)/C11+F62</f>
        <v/>
      </c>
      <c r="H62" s="27">
        <f>C62-G62</f>
        <v/>
      </c>
      <c r="I62" s="27">
        <f>C7+(E62/1000)/C8</f>
        <v/>
      </c>
    </row>
    <row r="63" ht="12.95" customHeight="1" s="44">
      <c r="B63" s="25">
        <f>(32/80*(60/C6))</f>
        <v/>
      </c>
      <c r="C63" s="25">
        <f>IF(MOD((32/80*(60/C6)),(60/C6))&lt;(60/C6*C10),C7+(IF(MOD((32/80*(60/C6)),(60/C6))&lt;(60/C6*C10),MIN(C5*MOD((32/80*(60/C6)),(60/C6)),C4),C4*EXP(-(MOD((32/80*(60/C6)),(60/C6))-(60/C6*C10))/(C9*C8))))/C8+C5*C9-F63,C7+(IF(MOD((32/80*(60/C6)),(60/C6))&lt;(60/C6*C10),MIN(C5*MOD((32/80*(60/C6)),(60/C6)),C4),C4*EXP(-(MOD((32/80*(60/C6)),(60/C6))-(60/C6*C10))/(C9*C8))))/C8)</f>
        <v/>
      </c>
      <c r="D63" s="25">
        <f>IF(MOD((32/80*(60/C6)),(60/C6))&lt;(60/C6*C10),C5*60,-(IF(MOD((32/80*(60/C6)),(60/C6))&lt;(60/C6*C10),MIN(C5*MOD((32/80*(60/C6)),(60/C6)),C4),C4*EXP(-(MOD((32/80*(60/C6)),(60/C6))-(60/C6*C10))/(C9*C8))))/(C9*C8)*60)</f>
        <v/>
      </c>
      <c r="E63" s="26">
        <f>(IF(MOD((32/80*(60/C6)),(60/C6))&lt;(60/C6*C10),MIN(C5*MOD((32/80*(60/C6)),(60/C6)),C4),C4*EXP(-(MOD((32/80*(60/C6)),(60/C6))-(60/C6*C10))/(C9*C8))))*1000</f>
        <v/>
      </c>
      <c r="F63" s="25">
        <f>IF(AND(MOD((32/80*(60/C6)),(60/C6))&lt;(60/C6*C10),MOD((32/80*(60/C6)),(60/C6))&lt;C13),-ABS(C12)*SIN(PI()*MOD((32/80*(60/C6)),(60/C6))/C13),0)</f>
        <v/>
      </c>
      <c r="G63" s="25">
        <f>C7*(C11/(C8+C11))+(E63/1000)/C11+F63</f>
        <v/>
      </c>
      <c r="H63" s="25">
        <f>C63-G63</f>
        <v/>
      </c>
      <c r="I63" s="25">
        <f>C7+(E63/1000)/C8</f>
        <v/>
      </c>
    </row>
    <row r="64" ht="12.95" customHeight="1" s="44">
      <c r="B64" s="27">
        <f>(33/80*(60/C6))</f>
        <v/>
      </c>
      <c r="C64" s="27">
        <f>IF(MOD((33/80*(60/C6)),(60/C6))&lt;(60/C6*C10),C7+(IF(MOD((33/80*(60/C6)),(60/C6))&lt;(60/C6*C10),MIN(C5*MOD((33/80*(60/C6)),(60/C6)),C4),C4*EXP(-(MOD((33/80*(60/C6)),(60/C6))-(60/C6*C10))/(C9*C8))))/C8+C5*C9-F64,C7+(IF(MOD((33/80*(60/C6)),(60/C6))&lt;(60/C6*C10),MIN(C5*MOD((33/80*(60/C6)),(60/C6)),C4),C4*EXP(-(MOD((33/80*(60/C6)),(60/C6))-(60/C6*C10))/(C9*C8))))/C8)</f>
        <v/>
      </c>
      <c r="D64" s="27">
        <f>IF(MOD((33/80*(60/C6)),(60/C6))&lt;(60/C6*C10),C5*60,-(IF(MOD((33/80*(60/C6)),(60/C6))&lt;(60/C6*C10),MIN(C5*MOD((33/80*(60/C6)),(60/C6)),C4),C4*EXP(-(MOD((33/80*(60/C6)),(60/C6))-(60/C6*C10))/(C9*C8))))/(C9*C8)*60)</f>
        <v/>
      </c>
      <c r="E64" s="28">
        <f>(IF(MOD((33/80*(60/C6)),(60/C6))&lt;(60/C6*C10),MIN(C5*MOD((33/80*(60/C6)),(60/C6)),C4),C4*EXP(-(MOD((33/80*(60/C6)),(60/C6))-(60/C6*C10))/(C9*C8))))*1000</f>
        <v/>
      </c>
      <c r="F64" s="27">
        <f>IF(AND(MOD((33/80*(60/C6)),(60/C6))&lt;(60/C6*C10),MOD((33/80*(60/C6)),(60/C6))&lt;C13),-ABS(C12)*SIN(PI()*MOD((33/80*(60/C6)),(60/C6))/C13),0)</f>
        <v/>
      </c>
      <c r="G64" s="27">
        <f>C7*(C11/(C8+C11))+(E64/1000)/C11+F64</f>
        <v/>
      </c>
      <c r="H64" s="27">
        <f>C64-G64</f>
        <v/>
      </c>
      <c r="I64" s="27">
        <f>C7+(E64/1000)/C8</f>
        <v/>
      </c>
    </row>
    <row r="65" ht="12.95" customHeight="1" s="44">
      <c r="B65" s="25">
        <f>(34/80*(60/C6))</f>
        <v/>
      </c>
      <c r="C65" s="25">
        <f>IF(MOD((34/80*(60/C6)),(60/C6))&lt;(60/C6*C10),C7+(IF(MOD((34/80*(60/C6)),(60/C6))&lt;(60/C6*C10),MIN(C5*MOD((34/80*(60/C6)),(60/C6)),C4),C4*EXP(-(MOD((34/80*(60/C6)),(60/C6))-(60/C6*C10))/(C9*C8))))/C8+C5*C9-F65,C7+(IF(MOD((34/80*(60/C6)),(60/C6))&lt;(60/C6*C10),MIN(C5*MOD((34/80*(60/C6)),(60/C6)),C4),C4*EXP(-(MOD((34/80*(60/C6)),(60/C6))-(60/C6*C10))/(C9*C8))))/C8)</f>
        <v/>
      </c>
      <c r="D65" s="25">
        <f>IF(MOD((34/80*(60/C6)),(60/C6))&lt;(60/C6*C10),C5*60,-(IF(MOD((34/80*(60/C6)),(60/C6))&lt;(60/C6*C10),MIN(C5*MOD((34/80*(60/C6)),(60/C6)),C4),C4*EXP(-(MOD((34/80*(60/C6)),(60/C6))-(60/C6*C10))/(C9*C8))))/(C9*C8)*60)</f>
        <v/>
      </c>
      <c r="E65" s="26">
        <f>(IF(MOD((34/80*(60/C6)),(60/C6))&lt;(60/C6*C10),MIN(C5*MOD((34/80*(60/C6)),(60/C6)),C4),C4*EXP(-(MOD((34/80*(60/C6)),(60/C6))-(60/C6*C10))/(C9*C8))))*1000</f>
        <v/>
      </c>
      <c r="F65" s="25">
        <f>IF(AND(MOD((34/80*(60/C6)),(60/C6))&lt;(60/C6*C10),MOD((34/80*(60/C6)),(60/C6))&lt;C13),-ABS(C12)*SIN(PI()*MOD((34/80*(60/C6)),(60/C6))/C13),0)</f>
        <v/>
      </c>
      <c r="G65" s="25">
        <f>C7*(C11/(C8+C11))+(E65/1000)/C11+F65</f>
        <v/>
      </c>
      <c r="H65" s="25">
        <f>C65-G65</f>
        <v/>
      </c>
      <c r="I65" s="25">
        <f>C7+(E65/1000)/C8</f>
        <v/>
      </c>
    </row>
    <row r="66" ht="12.95" customHeight="1" s="44">
      <c r="B66" s="27">
        <f>(35/80*(60/C6))</f>
        <v/>
      </c>
      <c r="C66" s="27">
        <f>IF(MOD((35/80*(60/C6)),(60/C6))&lt;(60/C6*C10),C7+(IF(MOD((35/80*(60/C6)),(60/C6))&lt;(60/C6*C10),MIN(C5*MOD((35/80*(60/C6)),(60/C6)),C4),C4*EXP(-(MOD((35/80*(60/C6)),(60/C6))-(60/C6*C10))/(C9*C8))))/C8+C5*C9-F66,C7+(IF(MOD((35/80*(60/C6)),(60/C6))&lt;(60/C6*C10),MIN(C5*MOD((35/80*(60/C6)),(60/C6)),C4),C4*EXP(-(MOD((35/80*(60/C6)),(60/C6))-(60/C6*C10))/(C9*C8))))/C8)</f>
        <v/>
      </c>
      <c r="D66" s="27">
        <f>IF(MOD((35/80*(60/C6)),(60/C6))&lt;(60/C6*C10),C5*60,-(IF(MOD((35/80*(60/C6)),(60/C6))&lt;(60/C6*C10),MIN(C5*MOD((35/80*(60/C6)),(60/C6)),C4),C4*EXP(-(MOD((35/80*(60/C6)),(60/C6))-(60/C6*C10))/(C9*C8))))/(C9*C8)*60)</f>
        <v/>
      </c>
      <c r="E66" s="28">
        <f>(IF(MOD((35/80*(60/C6)),(60/C6))&lt;(60/C6*C10),MIN(C5*MOD((35/80*(60/C6)),(60/C6)),C4),C4*EXP(-(MOD((35/80*(60/C6)),(60/C6))-(60/C6*C10))/(C9*C8))))*1000</f>
        <v/>
      </c>
      <c r="F66" s="27">
        <f>IF(AND(MOD((35/80*(60/C6)),(60/C6))&lt;(60/C6*C10),MOD((35/80*(60/C6)),(60/C6))&lt;C13),-ABS(C12)*SIN(PI()*MOD((35/80*(60/C6)),(60/C6))/C13),0)</f>
        <v/>
      </c>
      <c r="G66" s="27">
        <f>C7*(C11/(C8+C11))+(E66/1000)/C11+F66</f>
        <v/>
      </c>
      <c r="H66" s="27">
        <f>C66-G66</f>
        <v/>
      </c>
      <c r="I66" s="27">
        <f>C7+(E66/1000)/C8</f>
        <v/>
      </c>
    </row>
    <row r="67" ht="12.95" customHeight="1" s="44">
      <c r="B67" s="25">
        <f>(36/80*(60/C6))</f>
        <v/>
      </c>
      <c r="C67" s="25">
        <f>IF(MOD((36/80*(60/C6)),(60/C6))&lt;(60/C6*C10),C7+(IF(MOD((36/80*(60/C6)),(60/C6))&lt;(60/C6*C10),MIN(C5*MOD((36/80*(60/C6)),(60/C6)),C4),C4*EXP(-(MOD((36/80*(60/C6)),(60/C6))-(60/C6*C10))/(C9*C8))))/C8+C5*C9-F67,C7+(IF(MOD((36/80*(60/C6)),(60/C6))&lt;(60/C6*C10),MIN(C5*MOD((36/80*(60/C6)),(60/C6)),C4),C4*EXP(-(MOD((36/80*(60/C6)),(60/C6))-(60/C6*C10))/(C9*C8))))/C8)</f>
        <v/>
      </c>
      <c r="D67" s="25">
        <f>IF(MOD((36/80*(60/C6)),(60/C6))&lt;(60/C6*C10),C5*60,-(IF(MOD((36/80*(60/C6)),(60/C6))&lt;(60/C6*C10),MIN(C5*MOD((36/80*(60/C6)),(60/C6)),C4),C4*EXP(-(MOD((36/80*(60/C6)),(60/C6))-(60/C6*C10))/(C9*C8))))/(C9*C8)*60)</f>
        <v/>
      </c>
      <c r="E67" s="26">
        <f>(IF(MOD((36/80*(60/C6)),(60/C6))&lt;(60/C6*C10),MIN(C5*MOD((36/80*(60/C6)),(60/C6)),C4),C4*EXP(-(MOD((36/80*(60/C6)),(60/C6))-(60/C6*C10))/(C9*C8))))*1000</f>
        <v/>
      </c>
      <c r="F67" s="25">
        <f>IF(AND(MOD((36/80*(60/C6)),(60/C6))&lt;(60/C6*C10),MOD((36/80*(60/C6)),(60/C6))&lt;C13),-ABS(C12)*SIN(PI()*MOD((36/80*(60/C6)),(60/C6))/C13),0)</f>
        <v/>
      </c>
      <c r="G67" s="25">
        <f>C7*(C11/(C8+C11))+(E67/1000)/C11+F67</f>
        <v/>
      </c>
      <c r="H67" s="25">
        <f>C67-G67</f>
        <v/>
      </c>
      <c r="I67" s="25">
        <f>C7+(E67/1000)/C8</f>
        <v/>
      </c>
    </row>
    <row r="68" ht="12.95" customHeight="1" s="44">
      <c r="B68" s="27">
        <f>(37/80*(60/C6))</f>
        <v/>
      </c>
      <c r="C68" s="27">
        <f>IF(MOD((37/80*(60/C6)),(60/C6))&lt;(60/C6*C10),C7+(IF(MOD((37/80*(60/C6)),(60/C6))&lt;(60/C6*C10),MIN(C5*MOD((37/80*(60/C6)),(60/C6)),C4),C4*EXP(-(MOD((37/80*(60/C6)),(60/C6))-(60/C6*C10))/(C9*C8))))/C8+C5*C9-F68,C7+(IF(MOD((37/80*(60/C6)),(60/C6))&lt;(60/C6*C10),MIN(C5*MOD((37/80*(60/C6)),(60/C6)),C4),C4*EXP(-(MOD((37/80*(60/C6)),(60/C6))-(60/C6*C10))/(C9*C8))))/C8)</f>
        <v/>
      </c>
      <c r="D68" s="27">
        <f>IF(MOD((37/80*(60/C6)),(60/C6))&lt;(60/C6*C10),C5*60,-(IF(MOD((37/80*(60/C6)),(60/C6))&lt;(60/C6*C10),MIN(C5*MOD((37/80*(60/C6)),(60/C6)),C4),C4*EXP(-(MOD((37/80*(60/C6)),(60/C6))-(60/C6*C10))/(C9*C8))))/(C9*C8)*60)</f>
        <v/>
      </c>
      <c r="E68" s="28">
        <f>(IF(MOD((37/80*(60/C6)),(60/C6))&lt;(60/C6*C10),MIN(C5*MOD((37/80*(60/C6)),(60/C6)),C4),C4*EXP(-(MOD((37/80*(60/C6)),(60/C6))-(60/C6*C10))/(C9*C8))))*1000</f>
        <v/>
      </c>
      <c r="F68" s="27">
        <f>IF(AND(MOD((37/80*(60/C6)),(60/C6))&lt;(60/C6*C10),MOD((37/80*(60/C6)),(60/C6))&lt;C13),-ABS(C12)*SIN(PI()*MOD((37/80*(60/C6)),(60/C6))/C13),0)</f>
        <v/>
      </c>
      <c r="G68" s="27">
        <f>C7*(C11/(C8+C11))+(E68/1000)/C11+F68</f>
        <v/>
      </c>
      <c r="H68" s="27">
        <f>C68-G68</f>
        <v/>
      </c>
      <c r="I68" s="27">
        <f>C7+(E68/1000)/C8</f>
        <v/>
      </c>
    </row>
    <row r="69" ht="12.95" customHeight="1" s="44">
      <c r="B69" s="25">
        <f>(38/80*(60/C6))</f>
        <v/>
      </c>
      <c r="C69" s="25">
        <f>IF(MOD((38/80*(60/C6)),(60/C6))&lt;(60/C6*C10),C7+(IF(MOD((38/80*(60/C6)),(60/C6))&lt;(60/C6*C10),MIN(C5*MOD((38/80*(60/C6)),(60/C6)),C4),C4*EXP(-(MOD((38/80*(60/C6)),(60/C6))-(60/C6*C10))/(C9*C8))))/C8+C5*C9-F69,C7+(IF(MOD((38/80*(60/C6)),(60/C6))&lt;(60/C6*C10),MIN(C5*MOD((38/80*(60/C6)),(60/C6)),C4),C4*EXP(-(MOD((38/80*(60/C6)),(60/C6))-(60/C6*C10))/(C9*C8))))/C8)</f>
        <v/>
      </c>
      <c r="D69" s="25">
        <f>IF(MOD((38/80*(60/C6)),(60/C6))&lt;(60/C6*C10),C5*60,-(IF(MOD((38/80*(60/C6)),(60/C6))&lt;(60/C6*C10),MIN(C5*MOD((38/80*(60/C6)),(60/C6)),C4),C4*EXP(-(MOD((38/80*(60/C6)),(60/C6))-(60/C6*C10))/(C9*C8))))/(C9*C8)*60)</f>
        <v/>
      </c>
      <c r="E69" s="26">
        <f>(IF(MOD((38/80*(60/C6)),(60/C6))&lt;(60/C6*C10),MIN(C5*MOD((38/80*(60/C6)),(60/C6)),C4),C4*EXP(-(MOD((38/80*(60/C6)),(60/C6))-(60/C6*C10))/(C9*C8))))*1000</f>
        <v/>
      </c>
      <c r="F69" s="25">
        <f>IF(AND(MOD((38/80*(60/C6)),(60/C6))&lt;(60/C6*C10),MOD((38/80*(60/C6)),(60/C6))&lt;C13),-ABS(C12)*SIN(PI()*MOD((38/80*(60/C6)),(60/C6))/C13),0)</f>
        <v/>
      </c>
      <c r="G69" s="25">
        <f>C7*(C11/(C8+C11))+(E69/1000)/C11+F69</f>
        <v/>
      </c>
      <c r="H69" s="25">
        <f>C69-G69</f>
        <v/>
      </c>
      <c r="I69" s="25">
        <f>C7+(E69/1000)/C8</f>
        <v/>
      </c>
    </row>
    <row r="70" ht="12.95" customHeight="1" s="44">
      <c r="B70" s="27">
        <f>(39/80*(60/C6))</f>
        <v/>
      </c>
      <c r="C70" s="27">
        <f>IF(MOD((39/80*(60/C6)),(60/C6))&lt;(60/C6*C10),C7+(IF(MOD((39/80*(60/C6)),(60/C6))&lt;(60/C6*C10),MIN(C5*MOD((39/80*(60/C6)),(60/C6)),C4),C4*EXP(-(MOD((39/80*(60/C6)),(60/C6))-(60/C6*C10))/(C9*C8))))/C8+C5*C9-F70,C7+(IF(MOD((39/80*(60/C6)),(60/C6))&lt;(60/C6*C10),MIN(C5*MOD((39/80*(60/C6)),(60/C6)),C4),C4*EXP(-(MOD((39/80*(60/C6)),(60/C6))-(60/C6*C10))/(C9*C8))))/C8)</f>
        <v/>
      </c>
      <c r="D70" s="27">
        <f>IF(MOD((39/80*(60/C6)),(60/C6))&lt;(60/C6*C10),C5*60,-(IF(MOD((39/80*(60/C6)),(60/C6))&lt;(60/C6*C10),MIN(C5*MOD((39/80*(60/C6)),(60/C6)),C4),C4*EXP(-(MOD((39/80*(60/C6)),(60/C6))-(60/C6*C10))/(C9*C8))))/(C9*C8)*60)</f>
        <v/>
      </c>
      <c r="E70" s="28">
        <f>(IF(MOD((39/80*(60/C6)),(60/C6))&lt;(60/C6*C10),MIN(C5*MOD((39/80*(60/C6)),(60/C6)),C4),C4*EXP(-(MOD((39/80*(60/C6)),(60/C6))-(60/C6*C10))/(C9*C8))))*1000</f>
        <v/>
      </c>
      <c r="F70" s="27">
        <f>IF(AND(MOD((39/80*(60/C6)),(60/C6))&lt;(60/C6*C10),MOD((39/80*(60/C6)),(60/C6))&lt;C13),-ABS(C12)*SIN(PI()*MOD((39/80*(60/C6)),(60/C6))/C13),0)</f>
        <v/>
      </c>
      <c r="G70" s="27">
        <f>C7*(C11/(C8+C11))+(E70/1000)/C11+F70</f>
        <v/>
      </c>
      <c r="H70" s="27">
        <f>C70-G70</f>
        <v/>
      </c>
      <c r="I70" s="27">
        <f>C7+(E70/1000)/C8</f>
        <v/>
      </c>
    </row>
    <row r="71" ht="12.95" customHeight="1" s="44">
      <c r="B71" s="25">
        <f>(40/80*(60/C6))</f>
        <v/>
      </c>
      <c r="C71" s="25">
        <f>IF(MOD((40/80*(60/C6)),(60/C6))&lt;(60/C6*C10),C7+(IF(MOD((40/80*(60/C6)),(60/C6))&lt;(60/C6*C10),MIN(C5*MOD((40/80*(60/C6)),(60/C6)),C4),C4*EXP(-(MOD((40/80*(60/C6)),(60/C6))-(60/C6*C10))/(C9*C8))))/C8+C5*C9-F71,C7+(IF(MOD((40/80*(60/C6)),(60/C6))&lt;(60/C6*C10),MIN(C5*MOD((40/80*(60/C6)),(60/C6)),C4),C4*EXP(-(MOD((40/80*(60/C6)),(60/C6))-(60/C6*C10))/(C9*C8))))/C8)</f>
        <v/>
      </c>
      <c r="D71" s="25">
        <f>IF(MOD((40/80*(60/C6)),(60/C6))&lt;(60/C6*C10),C5*60,-(IF(MOD((40/80*(60/C6)),(60/C6))&lt;(60/C6*C10),MIN(C5*MOD((40/80*(60/C6)),(60/C6)),C4),C4*EXP(-(MOD((40/80*(60/C6)),(60/C6))-(60/C6*C10))/(C9*C8))))/(C9*C8)*60)</f>
        <v/>
      </c>
      <c r="E71" s="26">
        <f>(IF(MOD((40/80*(60/C6)),(60/C6))&lt;(60/C6*C10),MIN(C5*MOD((40/80*(60/C6)),(60/C6)),C4),C4*EXP(-(MOD((40/80*(60/C6)),(60/C6))-(60/C6*C10))/(C9*C8))))*1000</f>
        <v/>
      </c>
      <c r="F71" s="25">
        <f>IF(AND(MOD((40/80*(60/C6)),(60/C6))&lt;(60/C6*C10),MOD((40/80*(60/C6)),(60/C6))&lt;C13),-ABS(C12)*SIN(PI()*MOD((40/80*(60/C6)),(60/C6))/C13),0)</f>
        <v/>
      </c>
      <c r="G71" s="25">
        <f>C7*(C11/(C8+C11))+(E71/1000)/C11+F71</f>
        <v/>
      </c>
      <c r="H71" s="25">
        <f>C71-G71</f>
        <v/>
      </c>
      <c r="I71" s="25">
        <f>C7+(E71/1000)/C8</f>
        <v/>
      </c>
    </row>
    <row r="72" ht="12.95" customHeight="1" s="44">
      <c r="B72" s="27">
        <f>(41/80*(60/C6))</f>
        <v/>
      </c>
      <c r="C72" s="27">
        <f>IF(MOD((41/80*(60/C6)),(60/C6))&lt;(60/C6*C10),C7+(IF(MOD((41/80*(60/C6)),(60/C6))&lt;(60/C6*C10),MIN(C5*MOD((41/80*(60/C6)),(60/C6)),C4),C4*EXP(-(MOD((41/80*(60/C6)),(60/C6))-(60/C6*C10))/(C9*C8))))/C8+C5*C9-F72,C7+(IF(MOD((41/80*(60/C6)),(60/C6))&lt;(60/C6*C10),MIN(C5*MOD((41/80*(60/C6)),(60/C6)),C4),C4*EXP(-(MOD((41/80*(60/C6)),(60/C6))-(60/C6*C10))/(C9*C8))))/C8)</f>
        <v/>
      </c>
      <c r="D72" s="27">
        <f>IF(MOD((41/80*(60/C6)),(60/C6))&lt;(60/C6*C10),C5*60,-(IF(MOD((41/80*(60/C6)),(60/C6))&lt;(60/C6*C10),MIN(C5*MOD((41/80*(60/C6)),(60/C6)),C4),C4*EXP(-(MOD((41/80*(60/C6)),(60/C6))-(60/C6*C10))/(C9*C8))))/(C9*C8)*60)</f>
        <v/>
      </c>
      <c r="E72" s="28">
        <f>(IF(MOD((41/80*(60/C6)),(60/C6))&lt;(60/C6*C10),MIN(C5*MOD((41/80*(60/C6)),(60/C6)),C4),C4*EXP(-(MOD((41/80*(60/C6)),(60/C6))-(60/C6*C10))/(C9*C8))))*1000</f>
        <v/>
      </c>
      <c r="F72" s="27">
        <f>IF(AND(MOD((41/80*(60/C6)),(60/C6))&lt;(60/C6*C10),MOD((41/80*(60/C6)),(60/C6))&lt;C13),-ABS(C12)*SIN(PI()*MOD((41/80*(60/C6)),(60/C6))/C13),0)</f>
        <v/>
      </c>
      <c r="G72" s="27">
        <f>C7*(C11/(C8+C11))+(E72/1000)/C11+F72</f>
        <v/>
      </c>
      <c r="H72" s="27">
        <f>C72-G72</f>
        <v/>
      </c>
      <c r="I72" s="27">
        <f>C7+(E72/1000)/C8</f>
        <v/>
      </c>
    </row>
    <row r="73" ht="12.95" customHeight="1" s="44">
      <c r="B73" s="25">
        <f>(42/80*(60/C6))</f>
        <v/>
      </c>
      <c r="C73" s="25">
        <f>IF(MOD((42/80*(60/C6)),(60/C6))&lt;(60/C6*C10),C7+(IF(MOD((42/80*(60/C6)),(60/C6))&lt;(60/C6*C10),MIN(C5*MOD((42/80*(60/C6)),(60/C6)),C4),C4*EXP(-(MOD((42/80*(60/C6)),(60/C6))-(60/C6*C10))/(C9*C8))))/C8+C5*C9-F73,C7+(IF(MOD((42/80*(60/C6)),(60/C6))&lt;(60/C6*C10),MIN(C5*MOD((42/80*(60/C6)),(60/C6)),C4),C4*EXP(-(MOD((42/80*(60/C6)),(60/C6))-(60/C6*C10))/(C9*C8))))/C8)</f>
        <v/>
      </c>
      <c r="D73" s="25">
        <f>IF(MOD((42/80*(60/C6)),(60/C6))&lt;(60/C6*C10),C5*60,-(IF(MOD((42/80*(60/C6)),(60/C6))&lt;(60/C6*C10),MIN(C5*MOD((42/80*(60/C6)),(60/C6)),C4),C4*EXP(-(MOD((42/80*(60/C6)),(60/C6))-(60/C6*C10))/(C9*C8))))/(C9*C8)*60)</f>
        <v/>
      </c>
      <c r="E73" s="26">
        <f>(IF(MOD((42/80*(60/C6)),(60/C6))&lt;(60/C6*C10),MIN(C5*MOD((42/80*(60/C6)),(60/C6)),C4),C4*EXP(-(MOD((42/80*(60/C6)),(60/C6))-(60/C6*C10))/(C9*C8))))*1000</f>
        <v/>
      </c>
      <c r="F73" s="25">
        <f>IF(AND(MOD((42/80*(60/C6)),(60/C6))&lt;(60/C6*C10),MOD((42/80*(60/C6)),(60/C6))&lt;C13),-ABS(C12)*SIN(PI()*MOD((42/80*(60/C6)),(60/C6))/C13),0)</f>
        <v/>
      </c>
      <c r="G73" s="25">
        <f>C7*(C11/(C8+C11))+(E73/1000)/C11+F73</f>
        <v/>
      </c>
      <c r="H73" s="25">
        <f>C73-G73</f>
        <v/>
      </c>
      <c r="I73" s="25">
        <f>C7+(E73/1000)/C8</f>
        <v/>
      </c>
    </row>
    <row r="74" ht="12.95" customHeight="1" s="44">
      <c r="B74" s="27">
        <f>(43/80*(60/C6))</f>
        <v/>
      </c>
      <c r="C74" s="27">
        <f>IF(MOD((43/80*(60/C6)),(60/C6))&lt;(60/C6*C10),C7+(IF(MOD((43/80*(60/C6)),(60/C6))&lt;(60/C6*C10),MIN(C5*MOD((43/80*(60/C6)),(60/C6)),C4),C4*EXP(-(MOD((43/80*(60/C6)),(60/C6))-(60/C6*C10))/(C9*C8))))/C8+C5*C9-F74,C7+(IF(MOD((43/80*(60/C6)),(60/C6))&lt;(60/C6*C10),MIN(C5*MOD((43/80*(60/C6)),(60/C6)),C4),C4*EXP(-(MOD((43/80*(60/C6)),(60/C6))-(60/C6*C10))/(C9*C8))))/C8)</f>
        <v/>
      </c>
      <c r="D74" s="27">
        <f>IF(MOD((43/80*(60/C6)),(60/C6))&lt;(60/C6*C10),C5*60,-(IF(MOD((43/80*(60/C6)),(60/C6))&lt;(60/C6*C10),MIN(C5*MOD((43/80*(60/C6)),(60/C6)),C4),C4*EXP(-(MOD((43/80*(60/C6)),(60/C6))-(60/C6*C10))/(C9*C8))))/(C9*C8)*60)</f>
        <v/>
      </c>
      <c r="E74" s="28">
        <f>(IF(MOD((43/80*(60/C6)),(60/C6))&lt;(60/C6*C10),MIN(C5*MOD((43/80*(60/C6)),(60/C6)),C4),C4*EXP(-(MOD((43/80*(60/C6)),(60/C6))-(60/C6*C10))/(C9*C8))))*1000</f>
        <v/>
      </c>
      <c r="F74" s="27">
        <f>IF(AND(MOD((43/80*(60/C6)),(60/C6))&lt;(60/C6*C10),MOD((43/80*(60/C6)),(60/C6))&lt;C13),-ABS(C12)*SIN(PI()*MOD((43/80*(60/C6)),(60/C6))/C13),0)</f>
        <v/>
      </c>
      <c r="G74" s="27">
        <f>C7*(C11/(C8+C11))+(E74/1000)/C11+F74</f>
        <v/>
      </c>
      <c r="H74" s="27">
        <f>C74-G74</f>
        <v/>
      </c>
      <c r="I74" s="27">
        <f>C7+(E74/1000)/C8</f>
        <v/>
      </c>
    </row>
    <row r="75" ht="12.95" customHeight="1" s="44">
      <c r="B75" s="25">
        <f>(44/80*(60/C6))</f>
        <v/>
      </c>
      <c r="C75" s="25">
        <f>IF(MOD((44/80*(60/C6)),(60/C6))&lt;(60/C6*C10),C7+(IF(MOD((44/80*(60/C6)),(60/C6))&lt;(60/C6*C10),MIN(C5*MOD((44/80*(60/C6)),(60/C6)),C4),C4*EXP(-(MOD((44/80*(60/C6)),(60/C6))-(60/C6*C10))/(C9*C8))))/C8+C5*C9-F75,C7+(IF(MOD((44/80*(60/C6)),(60/C6))&lt;(60/C6*C10),MIN(C5*MOD((44/80*(60/C6)),(60/C6)),C4),C4*EXP(-(MOD((44/80*(60/C6)),(60/C6))-(60/C6*C10))/(C9*C8))))/C8)</f>
        <v/>
      </c>
      <c r="D75" s="25">
        <f>IF(MOD((44/80*(60/C6)),(60/C6))&lt;(60/C6*C10),C5*60,-(IF(MOD((44/80*(60/C6)),(60/C6))&lt;(60/C6*C10),MIN(C5*MOD((44/80*(60/C6)),(60/C6)),C4),C4*EXP(-(MOD((44/80*(60/C6)),(60/C6))-(60/C6*C10))/(C9*C8))))/(C9*C8)*60)</f>
        <v/>
      </c>
      <c r="E75" s="26">
        <f>(IF(MOD((44/80*(60/C6)),(60/C6))&lt;(60/C6*C10),MIN(C5*MOD((44/80*(60/C6)),(60/C6)),C4),C4*EXP(-(MOD((44/80*(60/C6)),(60/C6))-(60/C6*C10))/(C9*C8))))*1000</f>
        <v/>
      </c>
      <c r="F75" s="25">
        <f>IF(AND(MOD((44/80*(60/C6)),(60/C6))&lt;(60/C6*C10),MOD((44/80*(60/C6)),(60/C6))&lt;C13),-ABS(C12)*SIN(PI()*MOD((44/80*(60/C6)),(60/C6))/C13),0)</f>
        <v/>
      </c>
      <c r="G75" s="25">
        <f>C7*(C11/(C8+C11))+(E75/1000)/C11+F75</f>
        <v/>
      </c>
      <c r="H75" s="25">
        <f>C75-G75</f>
        <v/>
      </c>
      <c r="I75" s="25">
        <f>C7+(E75/1000)/C8</f>
        <v/>
      </c>
    </row>
    <row r="76" ht="12.95" customHeight="1" s="44">
      <c r="B76" s="27">
        <f>(45/80*(60/C6))</f>
        <v/>
      </c>
      <c r="C76" s="27">
        <f>IF(MOD((45/80*(60/C6)),(60/C6))&lt;(60/C6*C10),C7+(IF(MOD((45/80*(60/C6)),(60/C6))&lt;(60/C6*C10),MIN(C5*MOD((45/80*(60/C6)),(60/C6)),C4),C4*EXP(-(MOD((45/80*(60/C6)),(60/C6))-(60/C6*C10))/(C9*C8))))/C8+C5*C9-F76,C7+(IF(MOD((45/80*(60/C6)),(60/C6))&lt;(60/C6*C10),MIN(C5*MOD((45/80*(60/C6)),(60/C6)),C4),C4*EXP(-(MOD((45/80*(60/C6)),(60/C6))-(60/C6*C10))/(C9*C8))))/C8)</f>
        <v/>
      </c>
      <c r="D76" s="27">
        <f>IF(MOD((45/80*(60/C6)),(60/C6))&lt;(60/C6*C10),C5*60,-(IF(MOD((45/80*(60/C6)),(60/C6))&lt;(60/C6*C10),MIN(C5*MOD((45/80*(60/C6)),(60/C6)),C4),C4*EXP(-(MOD((45/80*(60/C6)),(60/C6))-(60/C6*C10))/(C9*C8))))/(C9*C8)*60)</f>
        <v/>
      </c>
      <c r="E76" s="28">
        <f>(IF(MOD((45/80*(60/C6)),(60/C6))&lt;(60/C6*C10),MIN(C5*MOD((45/80*(60/C6)),(60/C6)),C4),C4*EXP(-(MOD((45/80*(60/C6)),(60/C6))-(60/C6*C10))/(C9*C8))))*1000</f>
        <v/>
      </c>
      <c r="F76" s="27">
        <f>IF(AND(MOD((45/80*(60/C6)),(60/C6))&lt;(60/C6*C10),MOD((45/80*(60/C6)),(60/C6))&lt;C13),-ABS(C12)*SIN(PI()*MOD((45/80*(60/C6)),(60/C6))/C13),0)</f>
        <v/>
      </c>
      <c r="G76" s="27">
        <f>C7*(C11/(C8+C11))+(E76/1000)/C11+F76</f>
        <v/>
      </c>
      <c r="H76" s="27">
        <f>C76-G76</f>
        <v/>
      </c>
      <c r="I76" s="27">
        <f>C7+(E76/1000)/C8</f>
        <v/>
      </c>
    </row>
    <row r="77" ht="12.95" customHeight="1" s="44">
      <c r="B77" s="25">
        <f>(46/80*(60/C6))</f>
        <v/>
      </c>
      <c r="C77" s="25">
        <f>IF(MOD((46/80*(60/C6)),(60/C6))&lt;(60/C6*C10),C7+(IF(MOD((46/80*(60/C6)),(60/C6))&lt;(60/C6*C10),MIN(C5*MOD((46/80*(60/C6)),(60/C6)),C4),C4*EXP(-(MOD((46/80*(60/C6)),(60/C6))-(60/C6*C10))/(C9*C8))))/C8+C5*C9-F77,C7+(IF(MOD((46/80*(60/C6)),(60/C6))&lt;(60/C6*C10),MIN(C5*MOD((46/80*(60/C6)),(60/C6)),C4),C4*EXP(-(MOD((46/80*(60/C6)),(60/C6))-(60/C6*C10))/(C9*C8))))/C8)</f>
        <v/>
      </c>
      <c r="D77" s="25">
        <f>IF(MOD((46/80*(60/C6)),(60/C6))&lt;(60/C6*C10),C5*60,-(IF(MOD((46/80*(60/C6)),(60/C6))&lt;(60/C6*C10),MIN(C5*MOD((46/80*(60/C6)),(60/C6)),C4),C4*EXP(-(MOD((46/80*(60/C6)),(60/C6))-(60/C6*C10))/(C9*C8))))/(C9*C8)*60)</f>
        <v/>
      </c>
      <c r="E77" s="26">
        <f>(IF(MOD((46/80*(60/C6)),(60/C6))&lt;(60/C6*C10),MIN(C5*MOD((46/80*(60/C6)),(60/C6)),C4),C4*EXP(-(MOD((46/80*(60/C6)),(60/C6))-(60/C6*C10))/(C9*C8))))*1000</f>
        <v/>
      </c>
      <c r="F77" s="25">
        <f>IF(AND(MOD((46/80*(60/C6)),(60/C6))&lt;(60/C6*C10),MOD((46/80*(60/C6)),(60/C6))&lt;C13),-ABS(C12)*SIN(PI()*MOD((46/80*(60/C6)),(60/C6))/C13),0)</f>
        <v/>
      </c>
      <c r="G77" s="25">
        <f>C7*(C11/(C8+C11))+(E77/1000)/C11+F77</f>
        <v/>
      </c>
      <c r="H77" s="25">
        <f>C77-G77</f>
        <v/>
      </c>
      <c r="I77" s="25">
        <f>C7+(E77/1000)/C8</f>
        <v/>
      </c>
    </row>
    <row r="78" ht="12.95" customHeight="1" s="44">
      <c r="B78" s="27">
        <f>(47/80*(60/C6))</f>
        <v/>
      </c>
      <c r="C78" s="27">
        <f>IF(MOD((47/80*(60/C6)),(60/C6))&lt;(60/C6*C10),C7+(IF(MOD((47/80*(60/C6)),(60/C6))&lt;(60/C6*C10),MIN(C5*MOD((47/80*(60/C6)),(60/C6)),C4),C4*EXP(-(MOD((47/80*(60/C6)),(60/C6))-(60/C6*C10))/(C9*C8))))/C8+C5*C9-F78,C7+(IF(MOD((47/80*(60/C6)),(60/C6))&lt;(60/C6*C10),MIN(C5*MOD((47/80*(60/C6)),(60/C6)),C4),C4*EXP(-(MOD((47/80*(60/C6)),(60/C6))-(60/C6*C10))/(C9*C8))))/C8)</f>
        <v/>
      </c>
      <c r="D78" s="27">
        <f>IF(MOD((47/80*(60/C6)),(60/C6))&lt;(60/C6*C10),C5*60,-(IF(MOD((47/80*(60/C6)),(60/C6))&lt;(60/C6*C10),MIN(C5*MOD((47/80*(60/C6)),(60/C6)),C4),C4*EXP(-(MOD((47/80*(60/C6)),(60/C6))-(60/C6*C10))/(C9*C8))))/(C9*C8)*60)</f>
        <v/>
      </c>
      <c r="E78" s="28">
        <f>(IF(MOD((47/80*(60/C6)),(60/C6))&lt;(60/C6*C10),MIN(C5*MOD((47/80*(60/C6)),(60/C6)),C4),C4*EXP(-(MOD((47/80*(60/C6)),(60/C6))-(60/C6*C10))/(C9*C8))))*1000</f>
        <v/>
      </c>
      <c r="F78" s="27">
        <f>IF(AND(MOD((47/80*(60/C6)),(60/C6))&lt;(60/C6*C10),MOD((47/80*(60/C6)),(60/C6))&lt;C13),-ABS(C12)*SIN(PI()*MOD((47/80*(60/C6)),(60/C6))/C13),0)</f>
        <v/>
      </c>
      <c r="G78" s="27">
        <f>C7*(C11/(C8+C11))+(E78/1000)/C11+F78</f>
        <v/>
      </c>
      <c r="H78" s="27">
        <f>C78-G78</f>
        <v/>
      </c>
      <c r="I78" s="27">
        <f>C7+(E78/1000)/C8</f>
        <v/>
      </c>
    </row>
    <row r="79" ht="12.95" customHeight="1" s="44">
      <c r="B79" s="25">
        <f>(48/80*(60/C6))</f>
        <v/>
      </c>
      <c r="C79" s="25">
        <f>IF(MOD((48/80*(60/C6)),(60/C6))&lt;(60/C6*C10),C7+(IF(MOD((48/80*(60/C6)),(60/C6))&lt;(60/C6*C10),MIN(C5*MOD((48/80*(60/C6)),(60/C6)),C4),C4*EXP(-(MOD((48/80*(60/C6)),(60/C6))-(60/C6*C10))/(C9*C8))))/C8+C5*C9-F79,C7+(IF(MOD((48/80*(60/C6)),(60/C6))&lt;(60/C6*C10),MIN(C5*MOD((48/80*(60/C6)),(60/C6)),C4),C4*EXP(-(MOD((48/80*(60/C6)),(60/C6))-(60/C6*C10))/(C9*C8))))/C8)</f>
        <v/>
      </c>
      <c r="D79" s="25">
        <f>IF(MOD((48/80*(60/C6)),(60/C6))&lt;(60/C6*C10),C5*60,-(IF(MOD((48/80*(60/C6)),(60/C6))&lt;(60/C6*C10),MIN(C5*MOD((48/80*(60/C6)),(60/C6)),C4),C4*EXP(-(MOD((48/80*(60/C6)),(60/C6))-(60/C6*C10))/(C9*C8))))/(C9*C8)*60)</f>
        <v/>
      </c>
      <c r="E79" s="26">
        <f>(IF(MOD((48/80*(60/C6)),(60/C6))&lt;(60/C6*C10),MIN(C5*MOD((48/80*(60/C6)),(60/C6)),C4),C4*EXP(-(MOD((48/80*(60/C6)),(60/C6))-(60/C6*C10))/(C9*C8))))*1000</f>
        <v/>
      </c>
      <c r="F79" s="25">
        <f>IF(AND(MOD((48/80*(60/C6)),(60/C6))&lt;(60/C6*C10),MOD((48/80*(60/C6)),(60/C6))&lt;C13),-ABS(C12)*SIN(PI()*MOD((48/80*(60/C6)),(60/C6))/C13),0)</f>
        <v/>
      </c>
      <c r="G79" s="25">
        <f>C7*(C11/(C8+C11))+(E79/1000)/C11+F79</f>
        <v/>
      </c>
      <c r="H79" s="25">
        <f>C79-G79</f>
        <v/>
      </c>
      <c r="I79" s="25">
        <f>C7+(E79/1000)/C8</f>
        <v/>
      </c>
    </row>
    <row r="80" ht="12.95" customHeight="1" s="44">
      <c r="B80" s="27">
        <f>(49/80*(60/C6))</f>
        <v/>
      </c>
      <c r="C80" s="27">
        <f>IF(MOD((49/80*(60/C6)),(60/C6))&lt;(60/C6*C10),C7+(IF(MOD((49/80*(60/C6)),(60/C6))&lt;(60/C6*C10),MIN(C5*MOD((49/80*(60/C6)),(60/C6)),C4),C4*EXP(-(MOD((49/80*(60/C6)),(60/C6))-(60/C6*C10))/(C9*C8))))/C8+C5*C9-F80,C7+(IF(MOD((49/80*(60/C6)),(60/C6))&lt;(60/C6*C10),MIN(C5*MOD((49/80*(60/C6)),(60/C6)),C4),C4*EXP(-(MOD((49/80*(60/C6)),(60/C6))-(60/C6*C10))/(C9*C8))))/C8)</f>
        <v/>
      </c>
      <c r="D80" s="27">
        <f>IF(MOD((49/80*(60/C6)),(60/C6))&lt;(60/C6*C10),C5*60,-(IF(MOD((49/80*(60/C6)),(60/C6))&lt;(60/C6*C10),MIN(C5*MOD((49/80*(60/C6)),(60/C6)),C4),C4*EXP(-(MOD((49/80*(60/C6)),(60/C6))-(60/C6*C10))/(C9*C8))))/(C9*C8)*60)</f>
        <v/>
      </c>
      <c r="E80" s="28">
        <f>(IF(MOD((49/80*(60/C6)),(60/C6))&lt;(60/C6*C10),MIN(C5*MOD((49/80*(60/C6)),(60/C6)),C4),C4*EXP(-(MOD((49/80*(60/C6)),(60/C6))-(60/C6*C10))/(C9*C8))))*1000</f>
        <v/>
      </c>
      <c r="F80" s="27">
        <f>IF(AND(MOD((49/80*(60/C6)),(60/C6))&lt;(60/C6*C10),MOD((49/80*(60/C6)),(60/C6))&lt;C13),-ABS(C12)*SIN(PI()*MOD((49/80*(60/C6)),(60/C6))/C13),0)</f>
        <v/>
      </c>
      <c r="G80" s="27">
        <f>C7*(C11/(C8+C11))+(E80/1000)/C11+F80</f>
        <v/>
      </c>
      <c r="H80" s="27">
        <f>C80-G80</f>
        <v/>
      </c>
      <c r="I80" s="27">
        <f>C7+(E80/1000)/C8</f>
        <v/>
      </c>
    </row>
    <row r="81" ht="12.95" customHeight="1" s="44">
      <c r="B81" s="25">
        <f>(50/80*(60/C6))</f>
        <v/>
      </c>
      <c r="C81" s="25">
        <f>IF(MOD((50/80*(60/C6)),(60/C6))&lt;(60/C6*C10),C7+(IF(MOD((50/80*(60/C6)),(60/C6))&lt;(60/C6*C10),MIN(C5*MOD((50/80*(60/C6)),(60/C6)),C4),C4*EXP(-(MOD((50/80*(60/C6)),(60/C6))-(60/C6*C10))/(C9*C8))))/C8+C5*C9-F81,C7+(IF(MOD((50/80*(60/C6)),(60/C6))&lt;(60/C6*C10),MIN(C5*MOD((50/80*(60/C6)),(60/C6)),C4),C4*EXP(-(MOD((50/80*(60/C6)),(60/C6))-(60/C6*C10))/(C9*C8))))/C8)</f>
        <v/>
      </c>
      <c r="D81" s="25">
        <f>IF(MOD((50/80*(60/C6)),(60/C6))&lt;(60/C6*C10),C5*60,-(IF(MOD((50/80*(60/C6)),(60/C6))&lt;(60/C6*C10),MIN(C5*MOD((50/80*(60/C6)),(60/C6)),C4),C4*EXP(-(MOD((50/80*(60/C6)),(60/C6))-(60/C6*C10))/(C9*C8))))/(C9*C8)*60)</f>
        <v/>
      </c>
      <c r="E81" s="26">
        <f>(IF(MOD((50/80*(60/C6)),(60/C6))&lt;(60/C6*C10),MIN(C5*MOD((50/80*(60/C6)),(60/C6)),C4),C4*EXP(-(MOD((50/80*(60/C6)),(60/C6))-(60/C6*C10))/(C9*C8))))*1000</f>
        <v/>
      </c>
      <c r="F81" s="25">
        <f>IF(AND(MOD((50/80*(60/C6)),(60/C6))&lt;(60/C6*C10),MOD((50/80*(60/C6)),(60/C6))&lt;C13),-ABS(C12)*SIN(PI()*MOD((50/80*(60/C6)),(60/C6))/C13),0)</f>
        <v/>
      </c>
      <c r="G81" s="25">
        <f>C7*(C11/(C8+C11))+(E81/1000)/C11+F81</f>
        <v/>
      </c>
      <c r="H81" s="25">
        <f>C81-G81</f>
        <v/>
      </c>
      <c r="I81" s="25">
        <f>C7+(E81/1000)/C8</f>
        <v/>
      </c>
    </row>
    <row r="82" ht="12.95" customHeight="1" s="44">
      <c r="B82" s="27">
        <f>(51/80*(60/C6))</f>
        <v/>
      </c>
      <c r="C82" s="27">
        <f>IF(MOD((51/80*(60/C6)),(60/C6))&lt;(60/C6*C10),C7+(IF(MOD((51/80*(60/C6)),(60/C6))&lt;(60/C6*C10),MIN(C5*MOD((51/80*(60/C6)),(60/C6)),C4),C4*EXP(-(MOD((51/80*(60/C6)),(60/C6))-(60/C6*C10))/(C9*C8))))/C8+C5*C9-F82,C7+(IF(MOD((51/80*(60/C6)),(60/C6))&lt;(60/C6*C10),MIN(C5*MOD((51/80*(60/C6)),(60/C6)),C4),C4*EXP(-(MOD((51/80*(60/C6)),(60/C6))-(60/C6*C10))/(C9*C8))))/C8)</f>
        <v/>
      </c>
      <c r="D82" s="27">
        <f>IF(MOD((51/80*(60/C6)),(60/C6))&lt;(60/C6*C10),C5*60,-(IF(MOD((51/80*(60/C6)),(60/C6))&lt;(60/C6*C10),MIN(C5*MOD((51/80*(60/C6)),(60/C6)),C4),C4*EXP(-(MOD((51/80*(60/C6)),(60/C6))-(60/C6*C10))/(C9*C8))))/(C9*C8)*60)</f>
        <v/>
      </c>
      <c r="E82" s="28">
        <f>(IF(MOD((51/80*(60/C6)),(60/C6))&lt;(60/C6*C10),MIN(C5*MOD((51/80*(60/C6)),(60/C6)),C4),C4*EXP(-(MOD((51/80*(60/C6)),(60/C6))-(60/C6*C10))/(C9*C8))))*1000</f>
        <v/>
      </c>
      <c r="F82" s="27">
        <f>IF(AND(MOD((51/80*(60/C6)),(60/C6))&lt;(60/C6*C10),MOD((51/80*(60/C6)),(60/C6))&lt;C13),-ABS(C12)*SIN(PI()*MOD((51/80*(60/C6)),(60/C6))/C13),0)</f>
        <v/>
      </c>
      <c r="G82" s="27">
        <f>C7*(C11/(C8+C11))+(E82/1000)/C11+F82</f>
        <v/>
      </c>
      <c r="H82" s="27">
        <f>C82-G82</f>
        <v/>
      </c>
      <c r="I82" s="27">
        <f>C7+(E82/1000)/C8</f>
        <v/>
      </c>
    </row>
    <row r="83" ht="12.95" customHeight="1" s="44">
      <c r="B83" s="25">
        <f>(52/80*(60/C6))</f>
        <v/>
      </c>
      <c r="C83" s="25">
        <f>IF(MOD((52/80*(60/C6)),(60/C6))&lt;(60/C6*C10),C7+(IF(MOD((52/80*(60/C6)),(60/C6))&lt;(60/C6*C10),MIN(C5*MOD((52/80*(60/C6)),(60/C6)),C4),C4*EXP(-(MOD((52/80*(60/C6)),(60/C6))-(60/C6*C10))/(C9*C8))))/C8+C5*C9-F83,C7+(IF(MOD((52/80*(60/C6)),(60/C6))&lt;(60/C6*C10),MIN(C5*MOD((52/80*(60/C6)),(60/C6)),C4),C4*EXP(-(MOD((52/80*(60/C6)),(60/C6))-(60/C6*C10))/(C9*C8))))/C8)</f>
        <v/>
      </c>
      <c r="D83" s="25">
        <f>IF(MOD((52/80*(60/C6)),(60/C6))&lt;(60/C6*C10),C5*60,-(IF(MOD((52/80*(60/C6)),(60/C6))&lt;(60/C6*C10),MIN(C5*MOD((52/80*(60/C6)),(60/C6)),C4),C4*EXP(-(MOD((52/80*(60/C6)),(60/C6))-(60/C6*C10))/(C9*C8))))/(C9*C8)*60)</f>
        <v/>
      </c>
      <c r="E83" s="26">
        <f>(IF(MOD((52/80*(60/C6)),(60/C6))&lt;(60/C6*C10),MIN(C5*MOD((52/80*(60/C6)),(60/C6)),C4),C4*EXP(-(MOD((52/80*(60/C6)),(60/C6))-(60/C6*C10))/(C9*C8))))*1000</f>
        <v/>
      </c>
      <c r="F83" s="25">
        <f>IF(AND(MOD((52/80*(60/C6)),(60/C6))&lt;(60/C6*C10),MOD((52/80*(60/C6)),(60/C6))&lt;C13),-ABS(C12)*SIN(PI()*MOD((52/80*(60/C6)),(60/C6))/C13),0)</f>
        <v/>
      </c>
      <c r="G83" s="25">
        <f>C7*(C11/(C8+C11))+(E83/1000)/C11+F83</f>
        <v/>
      </c>
      <c r="H83" s="25">
        <f>C83-G83</f>
        <v/>
      </c>
      <c r="I83" s="25">
        <f>C7+(E83/1000)/C8</f>
        <v/>
      </c>
    </row>
    <row r="84" ht="12.95" customHeight="1" s="44">
      <c r="B84" s="27">
        <f>(53/80*(60/C6))</f>
        <v/>
      </c>
      <c r="C84" s="27">
        <f>IF(MOD((53/80*(60/C6)),(60/C6))&lt;(60/C6*C10),C7+(IF(MOD((53/80*(60/C6)),(60/C6))&lt;(60/C6*C10),MIN(C5*MOD((53/80*(60/C6)),(60/C6)),C4),C4*EXP(-(MOD((53/80*(60/C6)),(60/C6))-(60/C6*C10))/(C9*C8))))/C8+C5*C9-F84,C7+(IF(MOD((53/80*(60/C6)),(60/C6))&lt;(60/C6*C10),MIN(C5*MOD((53/80*(60/C6)),(60/C6)),C4),C4*EXP(-(MOD((53/80*(60/C6)),(60/C6))-(60/C6*C10))/(C9*C8))))/C8)</f>
        <v/>
      </c>
      <c r="D84" s="27">
        <f>IF(MOD((53/80*(60/C6)),(60/C6))&lt;(60/C6*C10),C5*60,-(IF(MOD((53/80*(60/C6)),(60/C6))&lt;(60/C6*C10),MIN(C5*MOD((53/80*(60/C6)),(60/C6)),C4),C4*EXP(-(MOD((53/80*(60/C6)),(60/C6))-(60/C6*C10))/(C9*C8))))/(C9*C8)*60)</f>
        <v/>
      </c>
      <c r="E84" s="28">
        <f>(IF(MOD((53/80*(60/C6)),(60/C6))&lt;(60/C6*C10),MIN(C5*MOD((53/80*(60/C6)),(60/C6)),C4),C4*EXP(-(MOD((53/80*(60/C6)),(60/C6))-(60/C6*C10))/(C9*C8))))*1000</f>
        <v/>
      </c>
      <c r="F84" s="27">
        <f>IF(AND(MOD((53/80*(60/C6)),(60/C6))&lt;(60/C6*C10),MOD((53/80*(60/C6)),(60/C6))&lt;C13),-ABS(C12)*SIN(PI()*MOD((53/80*(60/C6)),(60/C6))/C13),0)</f>
        <v/>
      </c>
      <c r="G84" s="27">
        <f>C7*(C11/(C8+C11))+(E84/1000)/C11+F84</f>
        <v/>
      </c>
      <c r="H84" s="27">
        <f>C84-G84</f>
        <v/>
      </c>
      <c r="I84" s="27">
        <f>C7+(E84/1000)/C8</f>
        <v/>
      </c>
    </row>
    <row r="85" ht="12.95" customHeight="1" s="44">
      <c r="B85" s="25">
        <f>(54/80*(60/C6))</f>
        <v/>
      </c>
      <c r="C85" s="25">
        <f>IF(MOD((54/80*(60/C6)),(60/C6))&lt;(60/C6*C10),C7+(IF(MOD((54/80*(60/C6)),(60/C6))&lt;(60/C6*C10),MIN(C5*MOD((54/80*(60/C6)),(60/C6)),C4),C4*EXP(-(MOD((54/80*(60/C6)),(60/C6))-(60/C6*C10))/(C9*C8))))/C8+C5*C9-F85,C7+(IF(MOD((54/80*(60/C6)),(60/C6))&lt;(60/C6*C10),MIN(C5*MOD((54/80*(60/C6)),(60/C6)),C4),C4*EXP(-(MOD((54/80*(60/C6)),(60/C6))-(60/C6*C10))/(C9*C8))))/C8)</f>
        <v/>
      </c>
      <c r="D85" s="25">
        <f>IF(MOD((54/80*(60/C6)),(60/C6))&lt;(60/C6*C10),C5*60,-(IF(MOD((54/80*(60/C6)),(60/C6))&lt;(60/C6*C10),MIN(C5*MOD((54/80*(60/C6)),(60/C6)),C4),C4*EXP(-(MOD((54/80*(60/C6)),(60/C6))-(60/C6*C10))/(C9*C8))))/(C9*C8)*60)</f>
        <v/>
      </c>
      <c r="E85" s="26">
        <f>(IF(MOD((54/80*(60/C6)),(60/C6))&lt;(60/C6*C10),MIN(C5*MOD((54/80*(60/C6)),(60/C6)),C4),C4*EXP(-(MOD((54/80*(60/C6)),(60/C6))-(60/C6*C10))/(C9*C8))))*1000</f>
        <v/>
      </c>
      <c r="F85" s="25">
        <f>IF(AND(MOD((54/80*(60/C6)),(60/C6))&lt;(60/C6*C10),MOD((54/80*(60/C6)),(60/C6))&lt;C13),-ABS(C12)*SIN(PI()*MOD((54/80*(60/C6)),(60/C6))/C13),0)</f>
        <v/>
      </c>
      <c r="G85" s="25">
        <f>C7*(C11/(C8+C11))+(E85/1000)/C11+F85</f>
        <v/>
      </c>
      <c r="H85" s="25">
        <f>C85-G85</f>
        <v/>
      </c>
      <c r="I85" s="25">
        <f>C7+(E85/1000)/C8</f>
        <v/>
      </c>
    </row>
    <row r="86" ht="12.95" customHeight="1" s="44">
      <c r="B86" s="27">
        <f>(55/80*(60/C6))</f>
        <v/>
      </c>
      <c r="C86" s="27">
        <f>IF(MOD((55/80*(60/C6)),(60/C6))&lt;(60/C6*C10),C7+(IF(MOD((55/80*(60/C6)),(60/C6))&lt;(60/C6*C10),MIN(C5*MOD((55/80*(60/C6)),(60/C6)),C4),C4*EXP(-(MOD((55/80*(60/C6)),(60/C6))-(60/C6*C10))/(C9*C8))))/C8+C5*C9-F86,C7+(IF(MOD((55/80*(60/C6)),(60/C6))&lt;(60/C6*C10),MIN(C5*MOD((55/80*(60/C6)),(60/C6)),C4),C4*EXP(-(MOD((55/80*(60/C6)),(60/C6))-(60/C6*C10))/(C9*C8))))/C8)</f>
        <v/>
      </c>
      <c r="D86" s="27">
        <f>IF(MOD((55/80*(60/C6)),(60/C6))&lt;(60/C6*C10),C5*60,-(IF(MOD((55/80*(60/C6)),(60/C6))&lt;(60/C6*C10),MIN(C5*MOD((55/80*(60/C6)),(60/C6)),C4),C4*EXP(-(MOD((55/80*(60/C6)),(60/C6))-(60/C6*C10))/(C9*C8))))/(C9*C8)*60)</f>
        <v/>
      </c>
      <c r="E86" s="28">
        <f>(IF(MOD((55/80*(60/C6)),(60/C6))&lt;(60/C6*C10),MIN(C5*MOD((55/80*(60/C6)),(60/C6)),C4),C4*EXP(-(MOD((55/80*(60/C6)),(60/C6))-(60/C6*C10))/(C9*C8))))*1000</f>
        <v/>
      </c>
      <c r="F86" s="27">
        <f>IF(AND(MOD((55/80*(60/C6)),(60/C6))&lt;(60/C6*C10),MOD((55/80*(60/C6)),(60/C6))&lt;C13),-ABS(C12)*SIN(PI()*MOD((55/80*(60/C6)),(60/C6))/C13),0)</f>
        <v/>
      </c>
      <c r="G86" s="27">
        <f>C7*(C11/(C8+C11))+(E86/1000)/C11+F86</f>
        <v/>
      </c>
      <c r="H86" s="27">
        <f>C86-G86</f>
        <v/>
      </c>
      <c r="I86" s="27">
        <f>C7+(E86/1000)/C8</f>
        <v/>
      </c>
    </row>
    <row r="87" ht="12.95" customHeight="1" s="44">
      <c r="B87" s="25">
        <f>(56/80*(60/C6))</f>
        <v/>
      </c>
      <c r="C87" s="25">
        <f>IF(MOD((56/80*(60/C6)),(60/C6))&lt;(60/C6*C10),C7+(IF(MOD((56/80*(60/C6)),(60/C6))&lt;(60/C6*C10),MIN(C5*MOD((56/80*(60/C6)),(60/C6)),C4),C4*EXP(-(MOD((56/80*(60/C6)),(60/C6))-(60/C6*C10))/(C9*C8))))/C8+C5*C9-F87,C7+(IF(MOD((56/80*(60/C6)),(60/C6))&lt;(60/C6*C10),MIN(C5*MOD((56/80*(60/C6)),(60/C6)),C4),C4*EXP(-(MOD((56/80*(60/C6)),(60/C6))-(60/C6*C10))/(C9*C8))))/C8)</f>
        <v/>
      </c>
      <c r="D87" s="25">
        <f>IF(MOD((56/80*(60/C6)),(60/C6))&lt;(60/C6*C10),C5*60,-(IF(MOD((56/80*(60/C6)),(60/C6))&lt;(60/C6*C10),MIN(C5*MOD((56/80*(60/C6)),(60/C6)),C4),C4*EXP(-(MOD((56/80*(60/C6)),(60/C6))-(60/C6*C10))/(C9*C8))))/(C9*C8)*60)</f>
        <v/>
      </c>
      <c r="E87" s="26">
        <f>(IF(MOD((56/80*(60/C6)),(60/C6))&lt;(60/C6*C10),MIN(C5*MOD((56/80*(60/C6)),(60/C6)),C4),C4*EXP(-(MOD((56/80*(60/C6)),(60/C6))-(60/C6*C10))/(C9*C8))))*1000</f>
        <v/>
      </c>
      <c r="F87" s="25">
        <f>IF(AND(MOD((56/80*(60/C6)),(60/C6))&lt;(60/C6*C10),MOD((56/80*(60/C6)),(60/C6))&lt;C13),-ABS(C12)*SIN(PI()*MOD((56/80*(60/C6)),(60/C6))/C13),0)</f>
        <v/>
      </c>
      <c r="G87" s="25">
        <f>C7*(C11/(C8+C11))+(E87/1000)/C11+F87</f>
        <v/>
      </c>
      <c r="H87" s="25">
        <f>C87-G87</f>
        <v/>
      </c>
      <c r="I87" s="25">
        <f>C7+(E87/1000)/C8</f>
        <v/>
      </c>
    </row>
    <row r="88" ht="12.95" customHeight="1" s="44">
      <c r="B88" s="27">
        <f>(57/80*(60/C6))</f>
        <v/>
      </c>
      <c r="C88" s="27">
        <f>IF(MOD((57/80*(60/C6)),(60/C6))&lt;(60/C6*C10),C7+(IF(MOD((57/80*(60/C6)),(60/C6))&lt;(60/C6*C10),MIN(C5*MOD((57/80*(60/C6)),(60/C6)),C4),C4*EXP(-(MOD((57/80*(60/C6)),(60/C6))-(60/C6*C10))/(C9*C8))))/C8+C5*C9-F88,C7+(IF(MOD((57/80*(60/C6)),(60/C6))&lt;(60/C6*C10),MIN(C5*MOD((57/80*(60/C6)),(60/C6)),C4),C4*EXP(-(MOD((57/80*(60/C6)),(60/C6))-(60/C6*C10))/(C9*C8))))/C8)</f>
        <v/>
      </c>
      <c r="D88" s="27">
        <f>IF(MOD((57/80*(60/C6)),(60/C6))&lt;(60/C6*C10),C5*60,-(IF(MOD((57/80*(60/C6)),(60/C6))&lt;(60/C6*C10),MIN(C5*MOD((57/80*(60/C6)),(60/C6)),C4),C4*EXP(-(MOD((57/80*(60/C6)),(60/C6))-(60/C6*C10))/(C9*C8))))/(C9*C8)*60)</f>
        <v/>
      </c>
      <c r="E88" s="28">
        <f>(IF(MOD((57/80*(60/C6)),(60/C6))&lt;(60/C6*C10),MIN(C5*MOD((57/80*(60/C6)),(60/C6)),C4),C4*EXP(-(MOD((57/80*(60/C6)),(60/C6))-(60/C6*C10))/(C9*C8))))*1000</f>
        <v/>
      </c>
      <c r="F88" s="27">
        <f>IF(AND(MOD((57/80*(60/C6)),(60/C6))&lt;(60/C6*C10),MOD((57/80*(60/C6)),(60/C6))&lt;C13),-ABS(C12)*SIN(PI()*MOD((57/80*(60/C6)),(60/C6))/C13),0)</f>
        <v/>
      </c>
      <c r="G88" s="27">
        <f>C7*(C11/(C8+C11))+(E88/1000)/C11+F88</f>
        <v/>
      </c>
      <c r="H88" s="27">
        <f>C88-G88</f>
        <v/>
      </c>
      <c r="I88" s="27">
        <f>C7+(E88/1000)/C8</f>
        <v/>
      </c>
    </row>
    <row r="89" ht="12.95" customHeight="1" s="44">
      <c r="B89" s="25">
        <f>(58/80*(60/C6))</f>
        <v/>
      </c>
      <c r="C89" s="25">
        <f>IF(MOD((58/80*(60/C6)),(60/C6))&lt;(60/C6*C10),C7+(IF(MOD((58/80*(60/C6)),(60/C6))&lt;(60/C6*C10),MIN(C5*MOD((58/80*(60/C6)),(60/C6)),C4),C4*EXP(-(MOD((58/80*(60/C6)),(60/C6))-(60/C6*C10))/(C9*C8))))/C8+C5*C9-F89,C7+(IF(MOD((58/80*(60/C6)),(60/C6))&lt;(60/C6*C10),MIN(C5*MOD((58/80*(60/C6)),(60/C6)),C4),C4*EXP(-(MOD((58/80*(60/C6)),(60/C6))-(60/C6*C10))/(C9*C8))))/C8)</f>
        <v/>
      </c>
      <c r="D89" s="25">
        <f>IF(MOD((58/80*(60/C6)),(60/C6))&lt;(60/C6*C10),C5*60,-(IF(MOD((58/80*(60/C6)),(60/C6))&lt;(60/C6*C10),MIN(C5*MOD((58/80*(60/C6)),(60/C6)),C4),C4*EXP(-(MOD((58/80*(60/C6)),(60/C6))-(60/C6*C10))/(C9*C8))))/(C9*C8)*60)</f>
        <v/>
      </c>
      <c r="E89" s="26">
        <f>(IF(MOD((58/80*(60/C6)),(60/C6))&lt;(60/C6*C10),MIN(C5*MOD((58/80*(60/C6)),(60/C6)),C4),C4*EXP(-(MOD((58/80*(60/C6)),(60/C6))-(60/C6*C10))/(C9*C8))))*1000</f>
        <v/>
      </c>
      <c r="F89" s="25">
        <f>IF(AND(MOD((58/80*(60/C6)),(60/C6))&lt;(60/C6*C10),MOD((58/80*(60/C6)),(60/C6))&lt;C13),-ABS(C12)*SIN(PI()*MOD((58/80*(60/C6)),(60/C6))/C13),0)</f>
        <v/>
      </c>
      <c r="G89" s="25">
        <f>C7*(C11/(C8+C11))+(E89/1000)/C11+F89</f>
        <v/>
      </c>
      <c r="H89" s="25">
        <f>C89-G89</f>
        <v/>
      </c>
      <c r="I89" s="25">
        <f>C7+(E89/1000)/C8</f>
        <v/>
      </c>
    </row>
    <row r="90" ht="12.95" customHeight="1" s="44">
      <c r="B90" s="27">
        <f>(59/80*(60/C6))</f>
        <v/>
      </c>
      <c r="C90" s="27">
        <f>IF(MOD((59/80*(60/C6)),(60/C6))&lt;(60/C6*C10),C7+(IF(MOD((59/80*(60/C6)),(60/C6))&lt;(60/C6*C10),MIN(C5*MOD((59/80*(60/C6)),(60/C6)),C4),C4*EXP(-(MOD((59/80*(60/C6)),(60/C6))-(60/C6*C10))/(C9*C8))))/C8+C5*C9-F90,C7+(IF(MOD((59/80*(60/C6)),(60/C6))&lt;(60/C6*C10),MIN(C5*MOD((59/80*(60/C6)),(60/C6)),C4),C4*EXP(-(MOD((59/80*(60/C6)),(60/C6))-(60/C6*C10))/(C9*C8))))/C8)</f>
        <v/>
      </c>
      <c r="D90" s="27">
        <f>IF(MOD((59/80*(60/C6)),(60/C6))&lt;(60/C6*C10),C5*60,-(IF(MOD((59/80*(60/C6)),(60/C6))&lt;(60/C6*C10),MIN(C5*MOD((59/80*(60/C6)),(60/C6)),C4),C4*EXP(-(MOD((59/80*(60/C6)),(60/C6))-(60/C6*C10))/(C9*C8))))/(C9*C8)*60)</f>
        <v/>
      </c>
      <c r="E90" s="28">
        <f>(IF(MOD((59/80*(60/C6)),(60/C6))&lt;(60/C6*C10),MIN(C5*MOD((59/80*(60/C6)),(60/C6)),C4),C4*EXP(-(MOD((59/80*(60/C6)),(60/C6))-(60/C6*C10))/(C9*C8))))*1000</f>
        <v/>
      </c>
      <c r="F90" s="27">
        <f>IF(AND(MOD((59/80*(60/C6)),(60/C6))&lt;(60/C6*C10),MOD((59/80*(60/C6)),(60/C6))&lt;C13),-ABS(C12)*SIN(PI()*MOD((59/80*(60/C6)),(60/C6))/C13),0)</f>
        <v/>
      </c>
      <c r="G90" s="27">
        <f>C7*(C11/(C8+C11))+(E90/1000)/C11+F90</f>
        <v/>
      </c>
      <c r="H90" s="27">
        <f>C90-G90</f>
        <v/>
      </c>
      <c r="I90" s="27">
        <f>C7+(E90/1000)/C8</f>
        <v/>
      </c>
    </row>
    <row r="91" ht="12.95" customHeight="1" s="44">
      <c r="B91" s="25">
        <f>(60/80*(60/C6))</f>
        <v/>
      </c>
      <c r="C91" s="25">
        <f>IF(MOD((60/80*(60/C6)),(60/C6))&lt;(60/C6*C10),C7+(IF(MOD((60/80*(60/C6)),(60/C6))&lt;(60/C6*C10),MIN(C5*MOD((60/80*(60/C6)),(60/C6)),C4),C4*EXP(-(MOD((60/80*(60/C6)),(60/C6))-(60/C6*C10))/(C9*C8))))/C8+C5*C9-F91,C7+(IF(MOD((60/80*(60/C6)),(60/C6))&lt;(60/C6*C10),MIN(C5*MOD((60/80*(60/C6)),(60/C6)),C4),C4*EXP(-(MOD((60/80*(60/C6)),(60/C6))-(60/C6*C10))/(C9*C8))))/C8)</f>
        <v/>
      </c>
      <c r="D91" s="25">
        <f>IF(MOD((60/80*(60/C6)),(60/C6))&lt;(60/C6*C10),C5*60,-(IF(MOD((60/80*(60/C6)),(60/C6))&lt;(60/C6*C10),MIN(C5*MOD((60/80*(60/C6)),(60/C6)),C4),C4*EXP(-(MOD((60/80*(60/C6)),(60/C6))-(60/C6*C10))/(C9*C8))))/(C9*C8)*60)</f>
        <v/>
      </c>
      <c r="E91" s="26">
        <f>(IF(MOD((60/80*(60/C6)),(60/C6))&lt;(60/C6*C10),MIN(C5*MOD((60/80*(60/C6)),(60/C6)),C4),C4*EXP(-(MOD((60/80*(60/C6)),(60/C6))-(60/C6*C10))/(C9*C8))))*1000</f>
        <v/>
      </c>
      <c r="F91" s="25">
        <f>IF(AND(MOD((60/80*(60/C6)),(60/C6))&lt;(60/C6*C10),MOD((60/80*(60/C6)),(60/C6))&lt;C13),-ABS(C12)*SIN(PI()*MOD((60/80*(60/C6)),(60/C6))/C13),0)</f>
        <v/>
      </c>
      <c r="G91" s="25">
        <f>C7*(C11/(C8+C11))+(E91/1000)/C11+F91</f>
        <v/>
      </c>
      <c r="H91" s="25">
        <f>C91-G91</f>
        <v/>
      </c>
      <c r="I91" s="25">
        <f>C7+(E91/1000)/C8</f>
        <v/>
      </c>
    </row>
    <row r="92" ht="12.95" customHeight="1" s="44">
      <c r="B92" s="27">
        <f>(61/80*(60/C6))</f>
        <v/>
      </c>
      <c r="C92" s="27">
        <f>IF(MOD((61/80*(60/C6)),(60/C6))&lt;(60/C6*C10),C7+(IF(MOD((61/80*(60/C6)),(60/C6))&lt;(60/C6*C10),MIN(C5*MOD((61/80*(60/C6)),(60/C6)),C4),C4*EXP(-(MOD((61/80*(60/C6)),(60/C6))-(60/C6*C10))/(C9*C8))))/C8+C5*C9-F92,C7+(IF(MOD((61/80*(60/C6)),(60/C6))&lt;(60/C6*C10),MIN(C5*MOD((61/80*(60/C6)),(60/C6)),C4),C4*EXP(-(MOD((61/80*(60/C6)),(60/C6))-(60/C6*C10))/(C9*C8))))/C8)</f>
        <v/>
      </c>
      <c r="D92" s="27">
        <f>IF(MOD((61/80*(60/C6)),(60/C6))&lt;(60/C6*C10),C5*60,-(IF(MOD((61/80*(60/C6)),(60/C6))&lt;(60/C6*C10),MIN(C5*MOD((61/80*(60/C6)),(60/C6)),C4),C4*EXP(-(MOD((61/80*(60/C6)),(60/C6))-(60/C6*C10))/(C9*C8))))/(C9*C8)*60)</f>
        <v/>
      </c>
      <c r="E92" s="28">
        <f>(IF(MOD((61/80*(60/C6)),(60/C6))&lt;(60/C6*C10),MIN(C5*MOD((61/80*(60/C6)),(60/C6)),C4),C4*EXP(-(MOD((61/80*(60/C6)),(60/C6))-(60/C6*C10))/(C9*C8))))*1000</f>
        <v/>
      </c>
      <c r="F92" s="27">
        <f>IF(AND(MOD((61/80*(60/C6)),(60/C6))&lt;(60/C6*C10),MOD((61/80*(60/C6)),(60/C6))&lt;C13),-ABS(C12)*SIN(PI()*MOD((61/80*(60/C6)),(60/C6))/C13),0)</f>
        <v/>
      </c>
      <c r="G92" s="27">
        <f>C7*(C11/(C8+C11))+(E92/1000)/C11+F92</f>
        <v/>
      </c>
      <c r="H92" s="27">
        <f>C92-G92</f>
        <v/>
      </c>
      <c r="I92" s="27">
        <f>C7+(E92/1000)/C8</f>
        <v/>
      </c>
    </row>
    <row r="93" ht="12.95" customHeight="1" s="44">
      <c r="B93" s="25">
        <f>(62/80*(60/C6))</f>
        <v/>
      </c>
      <c r="C93" s="25">
        <f>IF(MOD((62/80*(60/C6)),(60/C6))&lt;(60/C6*C10),C7+(IF(MOD((62/80*(60/C6)),(60/C6))&lt;(60/C6*C10),MIN(C5*MOD((62/80*(60/C6)),(60/C6)),C4),C4*EXP(-(MOD((62/80*(60/C6)),(60/C6))-(60/C6*C10))/(C9*C8))))/C8+C5*C9-F93,C7+(IF(MOD((62/80*(60/C6)),(60/C6))&lt;(60/C6*C10),MIN(C5*MOD((62/80*(60/C6)),(60/C6)),C4),C4*EXP(-(MOD((62/80*(60/C6)),(60/C6))-(60/C6*C10))/(C9*C8))))/C8)</f>
        <v/>
      </c>
      <c r="D93" s="25">
        <f>IF(MOD((62/80*(60/C6)),(60/C6))&lt;(60/C6*C10),C5*60,-(IF(MOD((62/80*(60/C6)),(60/C6))&lt;(60/C6*C10),MIN(C5*MOD((62/80*(60/C6)),(60/C6)),C4),C4*EXP(-(MOD((62/80*(60/C6)),(60/C6))-(60/C6*C10))/(C9*C8))))/(C9*C8)*60)</f>
        <v/>
      </c>
      <c r="E93" s="26">
        <f>(IF(MOD((62/80*(60/C6)),(60/C6))&lt;(60/C6*C10),MIN(C5*MOD((62/80*(60/C6)),(60/C6)),C4),C4*EXP(-(MOD((62/80*(60/C6)),(60/C6))-(60/C6*C10))/(C9*C8))))*1000</f>
        <v/>
      </c>
      <c r="F93" s="25">
        <f>IF(AND(MOD((62/80*(60/C6)),(60/C6))&lt;(60/C6*C10),MOD((62/80*(60/C6)),(60/C6))&lt;C13),-ABS(C12)*SIN(PI()*MOD((62/80*(60/C6)),(60/C6))/C13),0)</f>
        <v/>
      </c>
      <c r="G93" s="25">
        <f>C7*(C11/(C8+C11))+(E93/1000)/C11+F93</f>
        <v/>
      </c>
      <c r="H93" s="25">
        <f>C93-G93</f>
        <v/>
      </c>
      <c r="I93" s="25">
        <f>C7+(E93/1000)/C8</f>
        <v/>
      </c>
    </row>
    <row r="94" ht="12.95" customHeight="1" s="44">
      <c r="B94" s="27">
        <f>(63/80*(60/C6))</f>
        <v/>
      </c>
      <c r="C94" s="27">
        <f>IF(MOD((63/80*(60/C6)),(60/C6))&lt;(60/C6*C10),C7+(IF(MOD((63/80*(60/C6)),(60/C6))&lt;(60/C6*C10),MIN(C5*MOD((63/80*(60/C6)),(60/C6)),C4),C4*EXP(-(MOD((63/80*(60/C6)),(60/C6))-(60/C6*C10))/(C9*C8))))/C8+C5*C9-F94,C7+(IF(MOD((63/80*(60/C6)),(60/C6))&lt;(60/C6*C10),MIN(C5*MOD((63/80*(60/C6)),(60/C6)),C4),C4*EXP(-(MOD((63/80*(60/C6)),(60/C6))-(60/C6*C10))/(C9*C8))))/C8)</f>
        <v/>
      </c>
      <c r="D94" s="27">
        <f>IF(MOD((63/80*(60/C6)),(60/C6))&lt;(60/C6*C10),C5*60,-(IF(MOD((63/80*(60/C6)),(60/C6))&lt;(60/C6*C10),MIN(C5*MOD((63/80*(60/C6)),(60/C6)),C4),C4*EXP(-(MOD((63/80*(60/C6)),(60/C6))-(60/C6*C10))/(C9*C8))))/(C9*C8)*60)</f>
        <v/>
      </c>
      <c r="E94" s="28">
        <f>(IF(MOD((63/80*(60/C6)),(60/C6))&lt;(60/C6*C10),MIN(C5*MOD((63/80*(60/C6)),(60/C6)),C4),C4*EXP(-(MOD((63/80*(60/C6)),(60/C6))-(60/C6*C10))/(C9*C8))))*1000</f>
        <v/>
      </c>
      <c r="F94" s="27">
        <f>IF(AND(MOD((63/80*(60/C6)),(60/C6))&lt;(60/C6*C10),MOD((63/80*(60/C6)),(60/C6))&lt;C13),-ABS(C12)*SIN(PI()*MOD((63/80*(60/C6)),(60/C6))/C13),0)</f>
        <v/>
      </c>
      <c r="G94" s="27">
        <f>C7*(C11/(C8+C11))+(E94/1000)/C11+F94</f>
        <v/>
      </c>
      <c r="H94" s="27">
        <f>C94-G94</f>
        <v/>
      </c>
      <c r="I94" s="27">
        <f>C7+(E94/1000)/C8</f>
        <v/>
      </c>
    </row>
    <row r="95" ht="12.95" customHeight="1" s="44">
      <c r="B95" s="25">
        <f>(64/80*(60/C6))</f>
        <v/>
      </c>
      <c r="C95" s="25">
        <f>IF(MOD((64/80*(60/C6)),(60/C6))&lt;(60/C6*C10),C7+(IF(MOD((64/80*(60/C6)),(60/C6))&lt;(60/C6*C10),MIN(C5*MOD((64/80*(60/C6)),(60/C6)),C4),C4*EXP(-(MOD((64/80*(60/C6)),(60/C6))-(60/C6*C10))/(C9*C8))))/C8+C5*C9-F95,C7+(IF(MOD((64/80*(60/C6)),(60/C6))&lt;(60/C6*C10),MIN(C5*MOD((64/80*(60/C6)),(60/C6)),C4),C4*EXP(-(MOD((64/80*(60/C6)),(60/C6))-(60/C6*C10))/(C9*C8))))/C8)</f>
        <v/>
      </c>
      <c r="D95" s="25">
        <f>IF(MOD((64/80*(60/C6)),(60/C6))&lt;(60/C6*C10),C5*60,-(IF(MOD((64/80*(60/C6)),(60/C6))&lt;(60/C6*C10),MIN(C5*MOD((64/80*(60/C6)),(60/C6)),C4),C4*EXP(-(MOD((64/80*(60/C6)),(60/C6))-(60/C6*C10))/(C9*C8))))/(C9*C8)*60)</f>
        <v/>
      </c>
      <c r="E95" s="26">
        <f>(IF(MOD((64/80*(60/C6)),(60/C6))&lt;(60/C6*C10),MIN(C5*MOD((64/80*(60/C6)),(60/C6)),C4),C4*EXP(-(MOD((64/80*(60/C6)),(60/C6))-(60/C6*C10))/(C9*C8))))*1000</f>
        <v/>
      </c>
      <c r="F95" s="25">
        <f>IF(AND(MOD((64/80*(60/C6)),(60/C6))&lt;(60/C6*C10),MOD((64/80*(60/C6)),(60/C6))&lt;C13),-ABS(C12)*SIN(PI()*MOD((64/80*(60/C6)),(60/C6))/C13),0)</f>
        <v/>
      </c>
      <c r="G95" s="25">
        <f>C7*(C11/(C8+C11))+(E95/1000)/C11+F95</f>
        <v/>
      </c>
      <c r="H95" s="25">
        <f>C95-G95</f>
        <v/>
      </c>
      <c r="I95" s="25">
        <f>C7+(E95/1000)/C8</f>
        <v/>
      </c>
    </row>
    <row r="96" ht="12.95" customHeight="1" s="44">
      <c r="B96" s="27">
        <f>(65/80*(60/C6))</f>
        <v/>
      </c>
      <c r="C96" s="27">
        <f>IF(MOD((65/80*(60/C6)),(60/C6))&lt;(60/C6*C10),C7+(IF(MOD((65/80*(60/C6)),(60/C6))&lt;(60/C6*C10),MIN(C5*MOD((65/80*(60/C6)),(60/C6)),C4),C4*EXP(-(MOD((65/80*(60/C6)),(60/C6))-(60/C6*C10))/(C9*C8))))/C8+C5*C9-F96,C7+(IF(MOD((65/80*(60/C6)),(60/C6))&lt;(60/C6*C10),MIN(C5*MOD((65/80*(60/C6)),(60/C6)),C4),C4*EXP(-(MOD((65/80*(60/C6)),(60/C6))-(60/C6*C10))/(C9*C8))))/C8)</f>
        <v/>
      </c>
      <c r="D96" s="27">
        <f>IF(MOD((65/80*(60/C6)),(60/C6))&lt;(60/C6*C10),C5*60,-(IF(MOD((65/80*(60/C6)),(60/C6))&lt;(60/C6*C10),MIN(C5*MOD((65/80*(60/C6)),(60/C6)),C4),C4*EXP(-(MOD((65/80*(60/C6)),(60/C6))-(60/C6*C10))/(C9*C8))))/(C9*C8)*60)</f>
        <v/>
      </c>
      <c r="E96" s="28">
        <f>(IF(MOD((65/80*(60/C6)),(60/C6))&lt;(60/C6*C10),MIN(C5*MOD((65/80*(60/C6)),(60/C6)),C4),C4*EXP(-(MOD((65/80*(60/C6)),(60/C6))-(60/C6*C10))/(C9*C8))))*1000</f>
        <v/>
      </c>
      <c r="F96" s="27">
        <f>IF(AND(MOD((65/80*(60/C6)),(60/C6))&lt;(60/C6*C10),MOD((65/80*(60/C6)),(60/C6))&lt;C13),-ABS(C12)*SIN(PI()*MOD((65/80*(60/C6)),(60/C6))/C13),0)</f>
        <v/>
      </c>
      <c r="G96" s="27">
        <f>C7*(C11/(C8+C11))+(E96/1000)/C11+F96</f>
        <v/>
      </c>
      <c r="H96" s="27">
        <f>C96-G96</f>
        <v/>
      </c>
      <c r="I96" s="27">
        <f>C7+(E96/1000)/C8</f>
        <v/>
      </c>
    </row>
    <row r="97" ht="12.95" customHeight="1" s="44">
      <c r="B97" s="25">
        <f>(66/80*(60/C6))</f>
        <v/>
      </c>
      <c r="C97" s="25">
        <f>IF(MOD((66/80*(60/C6)),(60/C6))&lt;(60/C6*C10),C7+(IF(MOD((66/80*(60/C6)),(60/C6))&lt;(60/C6*C10),MIN(C5*MOD((66/80*(60/C6)),(60/C6)),C4),C4*EXP(-(MOD((66/80*(60/C6)),(60/C6))-(60/C6*C10))/(C9*C8))))/C8+C5*C9-F97,C7+(IF(MOD((66/80*(60/C6)),(60/C6))&lt;(60/C6*C10),MIN(C5*MOD((66/80*(60/C6)),(60/C6)),C4),C4*EXP(-(MOD((66/80*(60/C6)),(60/C6))-(60/C6*C10))/(C9*C8))))/C8)</f>
        <v/>
      </c>
      <c r="D97" s="25">
        <f>IF(MOD((66/80*(60/C6)),(60/C6))&lt;(60/C6*C10),C5*60,-(IF(MOD((66/80*(60/C6)),(60/C6))&lt;(60/C6*C10),MIN(C5*MOD((66/80*(60/C6)),(60/C6)),C4),C4*EXP(-(MOD((66/80*(60/C6)),(60/C6))-(60/C6*C10))/(C9*C8))))/(C9*C8)*60)</f>
        <v/>
      </c>
      <c r="E97" s="26">
        <f>(IF(MOD((66/80*(60/C6)),(60/C6))&lt;(60/C6*C10),MIN(C5*MOD((66/80*(60/C6)),(60/C6)),C4),C4*EXP(-(MOD((66/80*(60/C6)),(60/C6))-(60/C6*C10))/(C9*C8))))*1000</f>
        <v/>
      </c>
      <c r="F97" s="25">
        <f>IF(AND(MOD((66/80*(60/C6)),(60/C6))&lt;(60/C6*C10),MOD((66/80*(60/C6)),(60/C6))&lt;C13),-ABS(C12)*SIN(PI()*MOD((66/80*(60/C6)),(60/C6))/C13),0)</f>
        <v/>
      </c>
      <c r="G97" s="25">
        <f>C7*(C11/(C8+C11))+(E97/1000)/C11+F97</f>
        <v/>
      </c>
      <c r="H97" s="25">
        <f>C97-G97</f>
        <v/>
      </c>
      <c r="I97" s="25">
        <f>C7+(E97/1000)/C8</f>
        <v/>
      </c>
    </row>
    <row r="98" ht="12.95" customHeight="1" s="44">
      <c r="B98" s="27">
        <f>(67/80*(60/C6))</f>
        <v/>
      </c>
      <c r="C98" s="27">
        <f>IF(MOD((67/80*(60/C6)),(60/C6))&lt;(60/C6*C10),C7+(IF(MOD((67/80*(60/C6)),(60/C6))&lt;(60/C6*C10),MIN(C5*MOD((67/80*(60/C6)),(60/C6)),C4),C4*EXP(-(MOD((67/80*(60/C6)),(60/C6))-(60/C6*C10))/(C9*C8))))/C8+C5*C9-F98,C7+(IF(MOD((67/80*(60/C6)),(60/C6))&lt;(60/C6*C10),MIN(C5*MOD((67/80*(60/C6)),(60/C6)),C4),C4*EXP(-(MOD((67/80*(60/C6)),(60/C6))-(60/C6*C10))/(C9*C8))))/C8)</f>
        <v/>
      </c>
      <c r="D98" s="27">
        <f>IF(MOD((67/80*(60/C6)),(60/C6))&lt;(60/C6*C10),C5*60,-(IF(MOD((67/80*(60/C6)),(60/C6))&lt;(60/C6*C10),MIN(C5*MOD((67/80*(60/C6)),(60/C6)),C4),C4*EXP(-(MOD((67/80*(60/C6)),(60/C6))-(60/C6*C10))/(C9*C8))))/(C9*C8)*60)</f>
        <v/>
      </c>
      <c r="E98" s="28">
        <f>(IF(MOD((67/80*(60/C6)),(60/C6))&lt;(60/C6*C10),MIN(C5*MOD((67/80*(60/C6)),(60/C6)),C4),C4*EXP(-(MOD((67/80*(60/C6)),(60/C6))-(60/C6*C10))/(C9*C8))))*1000</f>
        <v/>
      </c>
      <c r="F98" s="27">
        <f>IF(AND(MOD((67/80*(60/C6)),(60/C6))&lt;(60/C6*C10),MOD((67/80*(60/C6)),(60/C6))&lt;C13),-ABS(C12)*SIN(PI()*MOD((67/80*(60/C6)),(60/C6))/C13),0)</f>
        <v/>
      </c>
      <c r="G98" s="27">
        <f>C7*(C11/(C8+C11))+(E98/1000)/C11+F98</f>
        <v/>
      </c>
      <c r="H98" s="27">
        <f>C98-G98</f>
        <v/>
      </c>
      <c r="I98" s="27">
        <f>C7+(E98/1000)/C8</f>
        <v/>
      </c>
    </row>
    <row r="99" ht="12.95" customHeight="1" s="44">
      <c r="B99" s="25">
        <f>(68/80*(60/C6))</f>
        <v/>
      </c>
      <c r="C99" s="25">
        <f>IF(MOD((68/80*(60/C6)),(60/C6))&lt;(60/C6*C10),C7+(IF(MOD((68/80*(60/C6)),(60/C6))&lt;(60/C6*C10),MIN(C5*MOD((68/80*(60/C6)),(60/C6)),C4),C4*EXP(-(MOD((68/80*(60/C6)),(60/C6))-(60/C6*C10))/(C9*C8))))/C8+C5*C9-F99,C7+(IF(MOD((68/80*(60/C6)),(60/C6))&lt;(60/C6*C10),MIN(C5*MOD((68/80*(60/C6)),(60/C6)),C4),C4*EXP(-(MOD((68/80*(60/C6)),(60/C6))-(60/C6*C10))/(C9*C8))))/C8)</f>
        <v/>
      </c>
      <c r="D99" s="25">
        <f>IF(MOD((68/80*(60/C6)),(60/C6))&lt;(60/C6*C10),C5*60,-(IF(MOD((68/80*(60/C6)),(60/C6))&lt;(60/C6*C10),MIN(C5*MOD((68/80*(60/C6)),(60/C6)),C4),C4*EXP(-(MOD((68/80*(60/C6)),(60/C6))-(60/C6*C10))/(C9*C8))))/(C9*C8)*60)</f>
        <v/>
      </c>
      <c r="E99" s="26">
        <f>(IF(MOD((68/80*(60/C6)),(60/C6))&lt;(60/C6*C10),MIN(C5*MOD((68/80*(60/C6)),(60/C6)),C4),C4*EXP(-(MOD((68/80*(60/C6)),(60/C6))-(60/C6*C10))/(C9*C8))))*1000</f>
        <v/>
      </c>
      <c r="F99" s="25">
        <f>IF(AND(MOD((68/80*(60/C6)),(60/C6))&lt;(60/C6*C10),MOD((68/80*(60/C6)),(60/C6))&lt;C13),-ABS(C12)*SIN(PI()*MOD((68/80*(60/C6)),(60/C6))/C13),0)</f>
        <v/>
      </c>
      <c r="G99" s="25">
        <f>C7*(C11/(C8+C11))+(E99/1000)/C11+F99</f>
        <v/>
      </c>
      <c r="H99" s="25">
        <f>C99-G99</f>
        <v/>
      </c>
      <c r="I99" s="25">
        <f>C7+(E99/1000)/C8</f>
        <v/>
      </c>
    </row>
    <row r="100" ht="12.95" customHeight="1" s="44">
      <c r="B100" s="27">
        <f>(69/80*(60/C6))</f>
        <v/>
      </c>
      <c r="C100" s="27">
        <f>IF(MOD((69/80*(60/C6)),(60/C6))&lt;(60/C6*C10),C7+(IF(MOD((69/80*(60/C6)),(60/C6))&lt;(60/C6*C10),MIN(C5*MOD((69/80*(60/C6)),(60/C6)),C4),C4*EXP(-(MOD((69/80*(60/C6)),(60/C6))-(60/C6*C10))/(C9*C8))))/C8+C5*C9-F100,C7+(IF(MOD((69/80*(60/C6)),(60/C6))&lt;(60/C6*C10),MIN(C5*MOD((69/80*(60/C6)),(60/C6)),C4),C4*EXP(-(MOD((69/80*(60/C6)),(60/C6))-(60/C6*C10))/(C9*C8))))/C8)</f>
        <v/>
      </c>
      <c r="D100" s="27">
        <f>IF(MOD((69/80*(60/C6)),(60/C6))&lt;(60/C6*C10),C5*60,-(IF(MOD((69/80*(60/C6)),(60/C6))&lt;(60/C6*C10),MIN(C5*MOD((69/80*(60/C6)),(60/C6)),C4),C4*EXP(-(MOD((69/80*(60/C6)),(60/C6))-(60/C6*C10))/(C9*C8))))/(C9*C8)*60)</f>
        <v/>
      </c>
      <c r="E100" s="28">
        <f>(IF(MOD((69/80*(60/C6)),(60/C6))&lt;(60/C6*C10),MIN(C5*MOD((69/80*(60/C6)),(60/C6)),C4),C4*EXP(-(MOD((69/80*(60/C6)),(60/C6))-(60/C6*C10))/(C9*C8))))*1000</f>
        <v/>
      </c>
      <c r="F100" s="27">
        <f>IF(AND(MOD((69/80*(60/C6)),(60/C6))&lt;(60/C6*C10),MOD((69/80*(60/C6)),(60/C6))&lt;C13),-ABS(C12)*SIN(PI()*MOD((69/80*(60/C6)),(60/C6))/C13),0)</f>
        <v/>
      </c>
      <c r="G100" s="27">
        <f>C7*(C11/(C8+C11))+(E100/1000)/C11+F100</f>
        <v/>
      </c>
      <c r="H100" s="27">
        <f>C100-G100</f>
        <v/>
      </c>
      <c r="I100" s="27">
        <f>C7+(E100/1000)/C8</f>
        <v/>
      </c>
    </row>
    <row r="101" ht="12.95" customHeight="1" s="44">
      <c r="B101" s="25">
        <f>(70/80*(60/C6))</f>
        <v/>
      </c>
      <c r="C101" s="25">
        <f>IF(MOD((70/80*(60/C6)),(60/C6))&lt;(60/C6*C10),C7+(IF(MOD((70/80*(60/C6)),(60/C6))&lt;(60/C6*C10),MIN(C5*MOD((70/80*(60/C6)),(60/C6)),C4),C4*EXP(-(MOD((70/80*(60/C6)),(60/C6))-(60/C6*C10))/(C9*C8))))/C8+C5*C9-F101,C7+(IF(MOD((70/80*(60/C6)),(60/C6))&lt;(60/C6*C10),MIN(C5*MOD((70/80*(60/C6)),(60/C6)),C4),C4*EXP(-(MOD((70/80*(60/C6)),(60/C6))-(60/C6*C10))/(C9*C8))))/C8)</f>
        <v/>
      </c>
      <c r="D101" s="25">
        <f>IF(MOD((70/80*(60/C6)),(60/C6))&lt;(60/C6*C10),C5*60,-(IF(MOD((70/80*(60/C6)),(60/C6))&lt;(60/C6*C10),MIN(C5*MOD((70/80*(60/C6)),(60/C6)),C4),C4*EXP(-(MOD((70/80*(60/C6)),(60/C6))-(60/C6*C10))/(C9*C8))))/(C9*C8)*60)</f>
        <v/>
      </c>
      <c r="E101" s="26">
        <f>(IF(MOD((70/80*(60/C6)),(60/C6))&lt;(60/C6*C10),MIN(C5*MOD((70/80*(60/C6)),(60/C6)),C4),C4*EXP(-(MOD((70/80*(60/C6)),(60/C6))-(60/C6*C10))/(C9*C8))))*1000</f>
        <v/>
      </c>
      <c r="F101" s="25">
        <f>IF(AND(MOD((70/80*(60/C6)),(60/C6))&lt;(60/C6*C10),MOD((70/80*(60/C6)),(60/C6))&lt;C13),-ABS(C12)*SIN(PI()*MOD((70/80*(60/C6)),(60/C6))/C13),0)</f>
        <v/>
      </c>
      <c r="G101" s="25">
        <f>C7*(C11/(C8+C11))+(E101/1000)/C11+F101</f>
        <v/>
      </c>
      <c r="H101" s="25">
        <f>C101-G101</f>
        <v/>
      </c>
      <c r="I101" s="25">
        <f>C7+(E101/1000)/C8</f>
        <v/>
      </c>
    </row>
    <row r="102" ht="12.95" customHeight="1" s="44">
      <c r="B102" s="27">
        <f>(71/80*(60/C6))</f>
        <v/>
      </c>
      <c r="C102" s="27">
        <f>IF(MOD((71/80*(60/C6)),(60/C6))&lt;(60/C6*C10),C7+(IF(MOD((71/80*(60/C6)),(60/C6))&lt;(60/C6*C10),MIN(C5*MOD((71/80*(60/C6)),(60/C6)),C4),C4*EXP(-(MOD((71/80*(60/C6)),(60/C6))-(60/C6*C10))/(C9*C8))))/C8+C5*C9-F102,C7+(IF(MOD((71/80*(60/C6)),(60/C6))&lt;(60/C6*C10),MIN(C5*MOD((71/80*(60/C6)),(60/C6)),C4),C4*EXP(-(MOD((71/80*(60/C6)),(60/C6))-(60/C6*C10))/(C9*C8))))/C8)</f>
        <v/>
      </c>
      <c r="D102" s="27">
        <f>IF(MOD((71/80*(60/C6)),(60/C6))&lt;(60/C6*C10),C5*60,-(IF(MOD((71/80*(60/C6)),(60/C6))&lt;(60/C6*C10),MIN(C5*MOD((71/80*(60/C6)),(60/C6)),C4),C4*EXP(-(MOD((71/80*(60/C6)),(60/C6))-(60/C6*C10))/(C9*C8))))/(C9*C8)*60)</f>
        <v/>
      </c>
      <c r="E102" s="28">
        <f>(IF(MOD((71/80*(60/C6)),(60/C6))&lt;(60/C6*C10),MIN(C5*MOD((71/80*(60/C6)),(60/C6)),C4),C4*EXP(-(MOD((71/80*(60/C6)),(60/C6))-(60/C6*C10))/(C9*C8))))*1000</f>
        <v/>
      </c>
      <c r="F102" s="27">
        <f>IF(AND(MOD((71/80*(60/C6)),(60/C6))&lt;(60/C6*C10),MOD((71/80*(60/C6)),(60/C6))&lt;C13),-ABS(C12)*SIN(PI()*MOD((71/80*(60/C6)),(60/C6))/C13),0)</f>
        <v/>
      </c>
      <c r="G102" s="27">
        <f>C7*(C11/(C8+C11))+(E102/1000)/C11+F102</f>
        <v/>
      </c>
      <c r="H102" s="27">
        <f>C102-G102</f>
        <v/>
      </c>
      <c r="I102" s="27">
        <f>C7+(E102/1000)/C8</f>
        <v/>
      </c>
    </row>
    <row r="103" ht="12.95" customHeight="1" s="44">
      <c r="B103" s="25">
        <f>(72/80*(60/C6))</f>
        <v/>
      </c>
      <c r="C103" s="25">
        <f>IF(MOD((72/80*(60/C6)),(60/C6))&lt;(60/C6*C10),C7+(IF(MOD((72/80*(60/C6)),(60/C6))&lt;(60/C6*C10),MIN(C5*MOD((72/80*(60/C6)),(60/C6)),C4),C4*EXP(-(MOD((72/80*(60/C6)),(60/C6))-(60/C6*C10))/(C9*C8))))/C8+C5*C9-F103,C7+(IF(MOD((72/80*(60/C6)),(60/C6))&lt;(60/C6*C10),MIN(C5*MOD((72/80*(60/C6)),(60/C6)),C4),C4*EXP(-(MOD((72/80*(60/C6)),(60/C6))-(60/C6*C10))/(C9*C8))))/C8)</f>
        <v/>
      </c>
      <c r="D103" s="25">
        <f>IF(MOD((72/80*(60/C6)),(60/C6))&lt;(60/C6*C10),C5*60,-(IF(MOD((72/80*(60/C6)),(60/C6))&lt;(60/C6*C10),MIN(C5*MOD((72/80*(60/C6)),(60/C6)),C4),C4*EXP(-(MOD((72/80*(60/C6)),(60/C6))-(60/C6*C10))/(C9*C8))))/(C9*C8)*60)</f>
        <v/>
      </c>
      <c r="E103" s="26">
        <f>(IF(MOD((72/80*(60/C6)),(60/C6))&lt;(60/C6*C10),MIN(C5*MOD((72/80*(60/C6)),(60/C6)),C4),C4*EXP(-(MOD((72/80*(60/C6)),(60/C6))-(60/C6*C10))/(C9*C8))))*1000</f>
        <v/>
      </c>
      <c r="F103" s="25">
        <f>IF(AND(MOD((72/80*(60/C6)),(60/C6))&lt;(60/C6*C10),MOD((72/80*(60/C6)),(60/C6))&lt;C13),-ABS(C12)*SIN(PI()*MOD((72/80*(60/C6)),(60/C6))/C13),0)</f>
        <v/>
      </c>
      <c r="G103" s="25">
        <f>C7*(C11/(C8+C11))+(E103/1000)/C11+F103</f>
        <v/>
      </c>
      <c r="H103" s="25">
        <f>C103-G103</f>
        <v/>
      </c>
      <c r="I103" s="25">
        <f>C7+(E103/1000)/C8</f>
        <v/>
      </c>
    </row>
    <row r="104" ht="12.95" customHeight="1" s="44">
      <c r="B104" s="27">
        <f>(73/80*(60/C6))</f>
        <v/>
      </c>
      <c r="C104" s="27">
        <f>IF(MOD((73/80*(60/C6)),(60/C6))&lt;(60/C6*C10),C7+(IF(MOD((73/80*(60/C6)),(60/C6))&lt;(60/C6*C10),MIN(C5*MOD((73/80*(60/C6)),(60/C6)),C4),C4*EXP(-(MOD((73/80*(60/C6)),(60/C6))-(60/C6*C10))/(C9*C8))))/C8+C5*C9-F104,C7+(IF(MOD((73/80*(60/C6)),(60/C6))&lt;(60/C6*C10),MIN(C5*MOD((73/80*(60/C6)),(60/C6)),C4),C4*EXP(-(MOD((73/80*(60/C6)),(60/C6))-(60/C6*C10))/(C9*C8))))/C8)</f>
        <v/>
      </c>
      <c r="D104" s="27">
        <f>IF(MOD((73/80*(60/C6)),(60/C6))&lt;(60/C6*C10),C5*60,-(IF(MOD((73/80*(60/C6)),(60/C6))&lt;(60/C6*C10),MIN(C5*MOD((73/80*(60/C6)),(60/C6)),C4),C4*EXP(-(MOD((73/80*(60/C6)),(60/C6))-(60/C6*C10))/(C9*C8))))/(C9*C8)*60)</f>
        <v/>
      </c>
      <c r="E104" s="28">
        <f>(IF(MOD((73/80*(60/C6)),(60/C6))&lt;(60/C6*C10),MIN(C5*MOD((73/80*(60/C6)),(60/C6)),C4),C4*EXP(-(MOD((73/80*(60/C6)),(60/C6))-(60/C6*C10))/(C9*C8))))*1000</f>
        <v/>
      </c>
      <c r="F104" s="27">
        <f>IF(AND(MOD((73/80*(60/C6)),(60/C6))&lt;(60/C6*C10),MOD((73/80*(60/C6)),(60/C6))&lt;C13),-ABS(C12)*SIN(PI()*MOD((73/80*(60/C6)),(60/C6))/C13),0)</f>
        <v/>
      </c>
      <c r="G104" s="27">
        <f>C7*(C11/(C8+C11))+(E104/1000)/C11+F104</f>
        <v/>
      </c>
      <c r="H104" s="27">
        <f>C104-G104</f>
        <v/>
      </c>
      <c r="I104" s="27">
        <f>C7+(E104/1000)/C8</f>
        <v/>
      </c>
    </row>
    <row r="105" ht="12.95" customHeight="1" s="44">
      <c r="B105" s="25">
        <f>(74/80*(60/C6))</f>
        <v/>
      </c>
      <c r="C105" s="25">
        <f>IF(MOD((74/80*(60/C6)),(60/C6))&lt;(60/C6*C10),C7+(IF(MOD((74/80*(60/C6)),(60/C6))&lt;(60/C6*C10),MIN(C5*MOD((74/80*(60/C6)),(60/C6)),C4),C4*EXP(-(MOD((74/80*(60/C6)),(60/C6))-(60/C6*C10))/(C9*C8))))/C8+C5*C9-F105,C7+(IF(MOD((74/80*(60/C6)),(60/C6))&lt;(60/C6*C10),MIN(C5*MOD((74/80*(60/C6)),(60/C6)),C4),C4*EXP(-(MOD((74/80*(60/C6)),(60/C6))-(60/C6*C10))/(C9*C8))))/C8)</f>
        <v/>
      </c>
      <c r="D105" s="25">
        <f>IF(MOD((74/80*(60/C6)),(60/C6))&lt;(60/C6*C10),C5*60,-(IF(MOD((74/80*(60/C6)),(60/C6))&lt;(60/C6*C10),MIN(C5*MOD((74/80*(60/C6)),(60/C6)),C4),C4*EXP(-(MOD((74/80*(60/C6)),(60/C6))-(60/C6*C10))/(C9*C8))))/(C9*C8)*60)</f>
        <v/>
      </c>
      <c r="E105" s="26">
        <f>(IF(MOD((74/80*(60/C6)),(60/C6))&lt;(60/C6*C10),MIN(C5*MOD((74/80*(60/C6)),(60/C6)),C4),C4*EXP(-(MOD((74/80*(60/C6)),(60/C6))-(60/C6*C10))/(C9*C8))))*1000</f>
        <v/>
      </c>
      <c r="F105" s="25">
        <f>IF(AND(MOD((74/80*(60/C6)),(60/C6))&lt;(60/C6*C10),MOD((74/80*(60/C6)),(60/C6))&lt;C13),-ABS(C12)*SIN(PI()*MOD((74/80*(60/C6)),(60/C6))/C13),0)</f>
        <v/>
      </c>
      <c r="G105" s="25">
        <f>C7*(C11/(C8+C11))+(E105/1000)/C11+F105</f>
        <v/>
      </c>
      <c r="H105" s="25">
        <f>C105-G105</f>
        <v/>
      </c>
      <c r="I105" s="25">
        <f>C7+(E105/1000)/C8</f>
        <v/>
      </c>
    </row>
    <row r="106" ht="12.95" customHeight="1" s="44">
      <c r="B106" s="27">
        <f>(75/80*(60/C6))</f>
        <v/>
      </c>
      <c r="C106" s="27">
        <f>IF(MOD((75/80*(60/C6)),(60/C6))&lt;(60/C6*C10),C7+(IF(MOD((75/80*(60/C6)),(60/C6))&lt;(60/C6*C10),MIN(C5*MOD((75/80*(60/C6)),(60/C6)),C4),C4*EXP(-(MOD((75/80*(60/C6)),(60/C6))-(60/C6*C10))/(C9*C8))))/C8+C5*C9-F106,C7+(IF(MOD((75/80*(60/C6)),(60/C6))&lt;(60/C6*C10),MIN(C5*MOD((75/80*(60/C6)),(60/C6)),C4),C4*EXP(-(MOD((75/80*(60/C6)),(60/C6))-(60/C6*C10))/(C9*C8))))/C8)</f>
        <v/>
      </c>
      <c r="D106" s="27">
        <f>IF(MOD((75/80*(60/C6)),(60/C6))&lt;(60/C6*C10),C5*60,-(IF(MOD((75/80*(60/C6)),(60/C6))&lt;(60/C6*C10),MIN(C5*MOD((75/80*(60/C6)),(60/C6)),C4),C4*EXP(-(MOD((75/80*(60/C6)),(60/C6))-(60/C6*C10))/(C9*C8))))/(C9*C8)*60)</f>
        <v/>
      </c>
      <c r="E106" s="28">
        <f>(IF(MOD((75/80*(60/C6)),(60/C6))&lt;(60/C6*C10),MIN(C5*MOD((75/80*(60/C6)),(60/C6)),C4),C4*EXP(-(MOD((75/80*(60/C6)),(60/C6))-(60/C6*C10))/(C9*C8))))*1000</f>
        <v/>
      </c>
      <c r="F106" s="27">
        <f>IF(AND(MOD((75/80*(60/C6)),(60/C6))&lt;(60/C6*C10),MOD((75/80*(60/C6)),(60/C6))&lt;C13),-ABS(C12)*SIN(PI()*MOD((75/80*(60/C6)),(60/C6))/C13),0)</f>
        <v/>
      </c>
      <c r="G106" s="27">
        <f>C7*(C11/(C8+C11))+(E106/1000)/C11+F106</f>
        <v/>
      </c>
      <c r="H106" s="27">
        <f>C106-G106</f>
        <v/>
      </c>
      <c r="I106" s="27">
        <f>C7+(E106/1000)/C8</f>
        <v/>
      </c>
    </row>
    <row r="107" ht="12.95" customHeight="1" s="44">
      <c r="B107" s="25">
        <f>(76/80*(60/C6))</f>
        <v/>
      </c>
      <c r="C107" s="25">
        <f>IF(MOD((76/80*(60/C6)),(60/C6))&lt;(60/C6*C10),C7+(IF(MOD((76/80*(60/C6)),(60/C6))&lt;(60/C6*C10),MIN(C5*MOD((76/80*(60/C6)),(60/C6)),C4),C4*EXP(-(MOD((76/80*(60/C6)),(60/C6))-(60/C6*C10))/(C9*C8))))/C8+C5*C9-F107,C7+(IF(MOD((76/80*(60/C6)),(60/C6))&lt;(60/C6*C10),MIN(C5*MOD((76/80*(60/C6)),(60/C6)),C4),C4*EXP(-(MOD((76/80*(60/C6)),(60/C6))-(60/C6*C10))/(C9*C8))))/C8)</f>
        <v/>
      </c>
      <c r="D107" s="25">
        <f>IF(MOD((76/80*(60/C6)),(60/C6))&lt;(60/C6*C10),C5*60,-(IF(MOD((76/80*(60/C6)),(60/C6))&lt;(60/C6*C10),MIN(C5*MOD((76/80*(60/C6)),(60/C6)),C4),C4*EXP(-(MOD((76/80*(60/C6)),(60/C6))-(60/C6*C10))/(C9*C8))))/(C9*C8)*60)</f>
        <v/>
      </c>
      <c r="E107" s="26">
        <f>(IF(MOD((76/80*(60/C6)),(60/C6))&lt;(60/C6*C10),MIN(C5*MOD((76/80*(60/C6)),(60/C6)),C4),C4*EXP(-(MOD((76/80*(60/C6)),(60/C6))-(60/C6*C10))/(C9*C8))))*1000</f>
        <v/>
      </c>
      <c r="F107" s="25">
        <f>IF(AND(MOD((76/80*(60/C6)),(60/C6))&lt;(60/C6*C10),MOD((76/80*(60/C6)),(60/C6))&lt;C13),-ABS(C12)*SIN(PI()*MOD((76/80*(60/C6)),(60/C6))/C13),0)</f>
        <v/>
      </c>
      <c r="G107" s="25">
        <f>C7*(C11/(C8+C11))+(E107/1000)/C11+F107</f>
        <v/>
      </c>
      <c r="H107" s="25">
        <f>C107-G107</f>
        <v/>
      </c>
      <c r="I107" s="25">
        <f>C7+(E107/1000)/C8</f>
        <v/>
      </c>
    </row>
    <row r="108" ht="12.95" customHeight="1" s="44">
      <c r="B108" s="27">
        <f>(77/80*(60/C6))</f>
        <v/>
      </c>
      <c r="C108" s="27">
        <f>IF(MOD((77/80*(60/C6)),(60/C6))&lt;(60/C6*C10),C7+(IF(MOD((77/80*(60/C6)),(60/C6))&lt;(60/C6*C10),MIN(C5*MOD((77/80*(60/C6)),(60/C6)),C4),C4*EXP(-(MOD((77/80*(60/C6)),(60/C6))-(60/C6*C10))/(C9*C8))))/C8+C5*C9-F108,C7+(IF(MOD((77/80*(60/C6)),(60/C6))&lt;(60/C6*C10),MIN(C5*MOD((77/80*(60/C6)),(60/C6)),C4),C4*EXP(-(MOD((77/80*(60/C6)),(60/C6))-(60/C6*C10))/(C9*C8))))/C8)</f>
        <v/>
      </c>
      <c r="D108" s="27">
        <f>IF(MOD((77/80*(60/C6)),(60/C6))&lt;(60/C6*C10),C5*60,-(IF(MOD((77/80*(60/C6)),(60/C6))&lt;(60/C6*C10),MIN(C5*MOD((77/80*(60/C6)),(60/C6)),C4),C4*EXP(-(MOD((77/80*(60/C6)),(60/C6))-(60/C6*C10))/(C9*C8))))/(C9*C8)*60)</f>
        <v/>
      </c>
      <c r="E108" s="28">
        <f>(IF(MOD((77/80*(60/C6)),(60/C6))&lt;(60/C6*C10),MIN(C5*MOD((77/80*(60/C6)),(60/C6)),C4),C4*EXP(-(MOD((77/80*(60/C6)),(60/C6))-(60/C6*C10))/(C9*C8))))*1000</f>
        <v/>
      </c>
      <c r="F108" s="27">
        <f>IF(AND(MOD((77/80*(60/C6)),(60/C6))&lt;(60/C6*C10),MOD((77/80*(60/C6)),(60/C6))&lt;C13),-ABS(C12)*SIN(PI()*MOD((77/80*(60/C6)),(60/C6))/C13),0)</f>
        <v/>
      </c>
      <c r="G108" s="27">
        <f>C7*(C11/(C8+C11))+(E108/1000)/C11+F108</f>
        <v/>
      </c>
      <c r="H108" s="27">
        <f>C108-G108</f>
        <v/>
      </c>
      <c r="I108" s="27">
        <f>C7+(E108/1000)/C8</f>
        <v/>
      </c>
    </row>
    <row r="109" ht="12.95" customHeight="1" s="44">
      <c r="B109" s="25">
        <f>(78/80*(60/C6))</f>
        <v/>
      </c>
      <c r="C109" s="25">
        <f>IF(MOD((78/80*(60/C6)),(60/C6))&lt;(60/C6*C10),C7+(IF(MOD((78/80*(60/C6)),(60/C6))&lt;(60/C6*C10),MIN(C5*MOD((78/80*(60/C6)),(60/C6)),C4),C4*EXP(-(MOD((78/80*(60/C6)),(60/C6))-(60/C6*C10))/(C9*C8))))/C8+C5*C9-F109,C7+(IF(MOD((78/80*(60/C6)),(60/C6))&lt;(60/C6*C10),MIN(C5*MOD((78/80*(60/C6)),(60/C6)),C4),C4*EXP(-(MOD((78/80*(60/C6)),(60/C6))-(60/C6*C10))/(C9*C8))))/C8)</f>
        <v/>
      </c>
      <c r="D109" s="25">
        <f>IF(MOD((78/80*(60/C6)),(60/C6))&lt;(60/C6*C10),C5*60,-(IF(MOD((78/80*(60/C6)),(60/C6))&lt;(60/C6*C10),MIN(C5*MOD((78/80*(60/C6)),(60/C6)),C4),C4*EXP(-(MOD((78/80*(60/C6)),(60/C6))-(60/C6*C10))/(C9*C8))))/(C9*C8)*60)</f>
        <v/>
      </c>
      <c r="E109" s="26">
        <f>(IF(MOD((78/80*(60/C6)),(60/C6))&lt;(60/C6*C10),MIN(C5*MOD((78/80*(60/C6)),(60/C6)),C4),C4*EXP(-(MOD((78/80*(60/C6)),(60/C6))-(60/C6*C10))/(C9*C8))))*1000</f>
        <v/>
      </c>
      <c r="F109" s="25">
        <f>IF(AND(MOD((78/80*(60/C6)),(60/C6))&lt;(60/C6*C10),MOD((78/80*(60/C6)),(60/C6))&lt;C13),-ABS(C12)*SIN(PI()*MOD((78/80*(60/C6)),(60/C6))/C13),0)</f>
        <v/>
      </c>
      <c r="G109" s="25">
        <f>C7*(C11/(C8+C11))+(E109/1000)/C11+F109</f>
        <v/>
      </c>
      <c r="H109" s="25">
        <f>C109-G109</f>
        <v/>
      </c>
      <c r="I109" s="25">
        <f>C7+(E109/1000)/C8</f>
        <v/>
      </c>
    </row>
    <row r="110" ht="12.95" customHeight="1" s="44">
      <c r="B110" s="27">
        <f>(79/80*(60/C6))</f>
        <v/>
      </c>
      <c r="C110" s="27">
        <f>IF(MOD((79/80*(60/C6)),(60/C6))&lt;(60/C6*C10),C7+(IF(MOD((79/80*(60/C6)),(60/C6))&lt;(60/C6*C10),MIN(C5*MOD((79/80*(60/C6)),(60/C6)),C4),C4*EXP(-(MOD((79/80*(60/C6)),(60/C6))-(60/C6*C10))/(C9*C8))))/C8+C5*C9-F110,C7+(IF(MOD((79/80*(60/C6)),(60/C6))&lt;(60/C6*C10),MIN(C5*MOD((79/80*(60/C6)),(60/C6)),C4),C4*EXP(-(MOD((79/80*(60/C6)),(60/C6))-(60/C6*C10))/(C9*C8))))/C8)</f>
        <v/>
      </c>
      <c r="D110" s="27">
        <f>IF(MOD((79/80*(60/C6)),(60/C6))&lt;(60/C6*C10),C5*60,-(IF(MOD((79/80*(60/C6)),(60/C6))&lt;(60/C6*C10),MIN(C5*MOD((79/80*(60/C6)),(60/C6)),C4),C4*EXP(-(MOD((79/80*(60/C6)),(60/C6))-(60/C6*C10))/(C9*C8))))/(C9*C8)*60)</f>
        <v/>
      </c>
      <c r="E110" s="28">
        <f>(IF(MOD((79/80*(60/C6)),(60/C6))&lt;(60/C6*C10),MIN(C5*MOD((79/80*(60/C6)),(60/C6)),C4),C4*EXP(-(MOD((79/80*(60/C6)),(60/C6))-(60/C6*C10))/(C9*C8))))*1000</f>
        <v/>
      </c>
      <c r="F110" s="27">
        <f>IF(AND(MOD((79/80*(60/C6)),(60/C6))&lt;(60/C6*C10),MOD((79/80*(60/C6)),(60/C6))&lt;C13),-ABS(C12)*SIN(PI()*MOD((79/80*(60/C6)),(60/C6))/C13),0)</f>
        <v/>
      </c>
      <c r="G110" s="27">
        <f>C7*(C11/(C8+C11))+(E110/1000)/C11+F110</f>
        <v/>
      </c>
      <c r="H110" s="27">
        <f>C110-G110</f>
        <v/>
      </c>
      <c r="I110" s="27">
        <f>C7+(E110/1000)/C8</f>
        <v/>
      </c>
    </row>
    <row r="111" ht="12.95" customHeight="1" s="44">
      <c r="B111" s="25">
        <f>(80/80*(60/C6))</f>
        <v/>
      </c>
      <c r="C111" s="25">
        <f>IF(MOD((80/80*(60/C6)),(60/C6))&lt;(60/C6*C10),C7+(IF(MOD((80/80*(60/C6)),(60/C6))&lt;(60/C6*C10),MIN(C5*MOD((80/80*(60/C6)),(60/C6)),C4),C4*EXP(-(MOD((80/80*(60/C6)),(60/C6))-(60/C6*C10))/(C9*C8))))/C8+C5*C9-F111,C7+(IF(MOD((80/80*(60/C6)),(60/C6))&lt;(60/C6*C10),MIN(C5*MOD((80/80*(60/C6)),(60/C6)),C4),C4*EXP(-(MOD((80/80*(60/C6)),(60/C6))-(60/C6*C10))/(C9*C8))))/C8)</f>
        <v/>
      </c>
      <c r="D111" s="25">
        <f>IF(MOD((80/80*(60/C6)),(60/C6))&lt;(60/C6*C10),C5*60,-(IF(MOD((80/80*(60/C6)),(60/C6))&lt;(60/C6*C10),MIN(C5*MOD((80/80*(60/C6)),(60/C6)),C4),C4*EXP(-(MOD((80/80*(60/C6)),(60/C6))-(60/C6*C10))/(C9*C8))))/(C9*C8)*60)</f>
        <v/>
      </c>
      <c r="E111" s="26">
        <f>(IF(MOD((80/80*(60/C6)),(60/C6))&lt;(60/C6*C10),MIN(C5*MOD((80/80*(60/C6)),(60/C6)),C4),C4*EXP(-(MOD((80/80*(60/C6)),(60/C6))-(60/C6*C10))/(C9*C8))))*1000</f>
        <v/>
      </c>
      <c r="F111" s="25">
        <f>IF(AND(MOD((80/80*(60/C6)),(60/C6))&lt;(60/C6*C10),MOD((80/80*(60/C6)),(60/C6))&lt;C13),-ABS(C12)*SIN(PI()*MOD((80/80*(60/C6)),(60/C6))/C13),0)</f>
        <v/>
      </c>
      <c r="G111" s="25">
        <f>C7*(C11/(C8+C11))+(E111/1000)/C11+F111</f>
        <v/>
      </c>
      <c r="H111" s="25">
        <f>C111-G111</f>
        <v/>
      </c>
      <c r="I111" s="25">
        <f>C7+(E111/1000)/C8</f>
        <v/>
      </c>
    </row>
    <row r="112" ht="12.95" customHeight="1" s="44">
      <c r="B112" s="27">
        <f>(81/80*(60/C6))</f>
        <v/>
      </c>
      <c r="C112" s="27">
        <f>IF(MOD((81/80*(60/C6)),(60/C6))&lt;(60/C6*C10),C7+(IF(MOD((81/80*(60/C6)),(60/C6))&lt;(60/C6*C10),MIN(C5*MOD((81/80*(60/C6)),(60/C6)),C4),C4*EXP(-(MOD((81/80*(60/C6)),(60/C6))-(60/C6*C10))/(C9*C8))))/C8+C5*C9-F112,C7+(IF(MOD((81/80*(60/C6)),(60/C6))&lt;(60/C6*C10),MIN(C5*MOD((81/80*(60/C6)),(60/C6)),C4),C4*EXP(-(MOD((81/80*(60/C6)),(60/C6))-(60/C6*C10))/(C9*C8))))/C8)</f>
        <v/>
      </c>
      <c r="D112" s="27">
        <f>IF(MOD((81/80*(60/C6)),(60/C6))&lt;(60/C6*C10),C5*60,-(IF(MOD((81/80*(60/C6)),(60/C6))&lt;(60/C6*C10),MIN(C5*MOD((81/80*(60/C6)),(60/C6)),C4),C4*EXP(-(MOD((81/80*(60/C6)),(60/C6))-(60/C6*C10))/(C9*C8))))/(C9*C8)*60)</f>
        <v/>
      </c>
      <c r="E112" s="28">
        <f>(IF(MOD((81/80*(60/C6)),(60/C6))&lt;(60/C6*C10),MIN(C5*MOD((81/80*(60/C6)),(60/C6)),C4),C4*EXP(-(MOD((81/80*(60/C6)),(60/C6))-(60/C6*C10))/(C9*C8))))*1000</f>
        <v/>
      </c>
      <c r="F112" s="27">
        <f>IF(AND(MOD((81/80*(60/C6)),(60/C6))&lt;(60/C6*C10),MOD((81/80*(60/C6)),(60/C6))&lt;C13),-ABS(C12)*SIN(PI()*MOD((81/80*(60/C6)),(60/C6))/C13),0)</f>
        <v/>
      </c>
      <c r="G112" s="27">
        <f>C7*(C11/(C8+C11))+(E112/1000)/C11+F112</f>
        <v/>
      </c>
      <c r="H112" s="27">
        <f>C112-G112</f>
        <v/>
      </c>
      <c r="I112" s="27">
        <f>C7+(E112/1000)/C8</f>
        <v/>
      </c>
    </row>
    <row r="113" ht="12.95" customHeight="1" s="44">
      <c r="B113" s="25">
        <f>(82/80*(60/C6))</f>
        <v/>
      </c>
      <c r="C113" s="25">
        <f>IF(MOD((82/80*(60/C6)),(60/C6))&lt;(60/C6*C10),C7+(IF(MOD((82/80*(60/C6)),(60/C6))&lt;(60/C6*C10),MIN(C5*MOD((82/80*(60/C6)),(60/C6)),C4),C4*EXP(-(MOD((82/80*(60/C6)),(60/C6))-(60/C6*C10))/(C9*C8))))/C8+C5*C9-F113,C7+(IF(MOD((82/80*(60/C6)),(60/C6))&lt;(60/C6*C10),MIN(C5*MOD((82/80*(60/C6)),(60/C6)),C4),C4*EXP(-(MOD((82/80*(60/C6)),(60/C6))-(60/C6*C10))/(C9*C8))))/C8)</f>
        <v/>
      </c>
      <c r="D113" s="25">
        <f>IF(MOD((82/80*(60/C6)),(60/C6))&lt;(60/C6*C10),C5*60,-(IF(MOD((82/80*(60/C6)),(60/C6))&lt;(60/C6*C10),MIN(C5*MOD((82/80*(60/C6)),(60/C6)),C4),C4*EXP(-(MOD((82/80*(60/C6)),(60/C6))-(60/C6*C10))/(C9*C8))))/(C9*C8)*60)</f>
        <v/>
      </c>
      <c r="E113" s="26">
        <f>(IF(MOD((82/80*(60/C6)),(60/C6))&lt;(60/C6*C10),MIN(C5*MOD((82/80*(60/C6)),(60/C6)),C4),C4*EXP(-(MOD((82/80*(60/C6)),(60/C6))-(60/C6*C10))/(C9*C8))))*1000</f>
        <v/>
      </c>
      <c r="F113" s="25">
        <f>IF(AND(MOD((82/80*(60/C6)),(60/C6))&lt;(60/C6*C10),MOD((82/80*(60/C6)),(60/C6))&lt;C13),-ABS(C12)*SIN(PI()*MOD((82/80*(60/C6)),(60/C6))/C13),0)</f>
        <v/>
      </c>
      <c r="G113" s="25">
        <f>C7*(C11/(C8+C11))+(E113/1000)/C11+F113</f>
        <v/>
      </c>
      <c r="H113" s="25">
        <f>C113-G113</f>
        <v/>
      </c>
      <c r="I113" s="25">
        <f>C7+(E113/1000)/C8</f>
        <v/>
      </c>
    </row>
    <row r="114" ht="12.95" customHeight="1" s="44">
      <c r="B114" s="27">
        <f>(83/80*(60/C6))</f>
        <v/>
      </c>
      <c r="C114" s="27">
        <f>IF(MOD((83/80*(60/C6)),(60/C6))&lt;(60/C6*C10),C7+(IF(MOD((83/80*(60/C6)),(60/C6))&lt;(60/C6*C10),MIN(C5*MOD((83/80*(60/C6)),(60/C6)),C4),C4*EXP(-(MOD((83/80*(60/C6)),(60/C6))-(60/C6*C10))/(C9*C8))))/C8+C5*C9-F114,C7+(IF(MOD((83/80*(60/C6)),(60/C6))&lt;(60/C6*C10),MIN(C5*MOD((83/80*(60/C6)),(60/C6)),C4),C4*EXP(-(MOD((83/80*(60/C6)),(60/C6))-(60/C6*C10))/(C9*C8))))/C8)</f>
        <v/>
      </c>
      <c r="D114" s="27">
        <f>IF(MOD((83/80*(60/C6)),(60/C6))&lt;(60/C6*C10),C5*60,-(IF(MOD((83/80*(60/C6)),(60/C6))&lt;(60/C6*C10),MIN(C5*MOD((83/80*(60/C6)),(60/C6)),C4),C4*EXP(-(MOD((83/80*(60/C6)),(60/C6))-(60/C6*C10))/(C9*C8))))/(C9*C8)*60)</f>
        <v/>
      </c>
      <c r="E114" s="28">
        <f>(IF(MOD((83/80*(60/C6)),(60/C6))&lt;(60/C6*C10),MIN(C5*MOD((83/80*(60/C6)),(60/C6)),C4),C4*EXP(-(MOD((83/80*(60/C6)),(60/C6))-(60/C6*C10))/(C9*C8))))*1000</f>
        <v/>
      </c>
      <c r="F114" s="27">
        <f>IF(AND(MOD((83/80*(60/C6)),(60/C6))&lt;(60/C6*C10),MOD((83/80*(60/C6)),(60/C6))&lt;C13),-ABS(C12)*SIN(PI()*MOD((83/80*(60/C6)),(60/C6))/C13),0)</f>
        <v/>
      </c>
      <c r="G114" s="27">
        <f>C7*(C11/(C8+C11))+(E114/1000)/C11+F114</f>
        <v/>
      </c>
      <c r="H114" s="27">
        <f>C114-G114</f>
        <v/>
      </c>
      <c r="I114" s="27">
        <f>C7+(E114/1000)/C8</f>
        <v/>
      </c>
    </row>
    <row r="115" ht="12.95" customHeight="1" s="44">
      <c r="B115" s="25">
        <f>(84/80*(60/C6))</f>
        <v/>
      </c>
      <c r="C115" s="25">
        <f>IF(MOD((84/80*(60/C6)),(60/C6))&lt;(60/C6*C10),C7+(IF(MOD((84/80*(60/C6)),(60/C6))&lt;(60/C6*C10),MIN(C5*MOD((84/80*(60/C6)),(60/C6)),C4),C4*EXP(-(MOD((84/80*(60/C6)),(60/C6))-(60/C6*C10))/(C9*C8))))/C8+C5*C9-F115,C7+(IF(MOD((84/80*(60/C6)),(60/C6))&lt;(60/C6*C10),MIN(C5*MOD((84/80*(60/C6)),(60/C6)),C4),C4*EXP(-(MOD((84/80*(60/C6)),(60/C6))-(60/C6*C10))/(C9*C8))))/C8)</f>
        <v/>
      </c>
      <c r="D115" s="25">
        <f>IF(MOD((84/80*(60/C6)),(60/C6))&lt;(60/C6*C10),C5*60,-(IF(MOD((84/80*(60/C6)),(60/C6))&lt;(60/C6*C10),MIN(C5*MOD((84/80*(60/C6)),(60/C6)),C4),C4*EXP(-(MOD((84/80*(60/C6)),(60/C6))-(60/C6*C10))/(C9*C8))))/(C9*C8)*60)</f>
        <v/>
      </c>
      <c r="E115" s="26">
        <f>(IF(MOD((84/80*(60/C6)),(60/C6))&lt;(60/C6*C10),MIN(C5*MOD((84/80*(60/C6)),(60/C6)),C4),C4*EXP(-(MOD((84/80*(60/C6)),(60/C6))-(60/C6*C10))/(C9*C8))))*1000</f>
        <v/>
      </c>
      <c r="F115" s="25">
        <f>IF(AND(MOD((84/80*(60/C6)),(60/C6))&lt;(60/C6*C10),MOD((84/80*(60/C6)),(60/C6))&lt;C13),-ABS(C12)*SIN(PI()*MOD((84/80*(60/C6)),(60/C6))/C13),0)</f>
        <v/>
      </c>
      <c r="G115" s="25">
        <f>C7*(C11/(C8+C11))+(E115/1000)/C11+F115</f>
        <v/>
      </c>
      <c r="H115" s="25">
        <f>C115-G115</f>
        <v/>
      </c>
      <c r="I115" s="25">
        <f>C7+(E115/1000)/C8</f>
        <v/>
      </c>
    </row>
    <row r="116" ht="12.95" customHeight="1" s="44">
      <c r="B116" s="27">
        <f>(85/80*(60/C6))</f>
        <v/>
      </c>
      <c r="C116" s="27">
        <f>IF(MOD((85/80*(60/C6)),(60/C6))&lt;(60/C6*C10),C7+(IF(MOD((85/80*(60/C6)),(60/C6))&lt;(60/C6*C10),MIN(C5*MOD((85/80*(60/C6)),(60/C6)),C4),C4*EXP(-(MOD((85/80*(60/C6)),(60/C6))-(60/C6*C10))/(C9*C8))))/C8+C5*C9-F116,C7+(IF(MOD((85/80*(60/C6)),(60/C6))&lt;(60/C6*C10),MIN(C5*MOD((85/80*(60/C6)),(60/C6)),C4),C4*EXP(-(MOD((85/80*(60/C6)),(60/C6))-(60/C6*C10))/(C9*C8))))/C8)</f>
        <v/>
      </c>
      <c r="D116" s="27">
        <f>IF(MOD((85/80*(60/C6)),(60/C6))&lt;(60/C6*C10),C5*60,-(IF(MOD((85/80*(60/C6)),(60/C6))&lt;(60/C6*C10),MIN(C5*MOD((85/80*(60/C6)),(60/C6)),C4),C4*EXP(-(MOD((85/80*(60/C6)),(60/C6))-(60/C6*C10))/(C9*C8))))/(C9*C8)*60)</f>
        <v/>
      </c>
      <c r="E116" s="28">
        <f>(IF(MOD((85/80*(60/C6)),(60/C6))&lt;(60/C6*C10),MIN(C5*MOD((85/80*(60/C6)),(60/C6)),C4),C4*EXP(-(MOD((85/80*(60/C6)),(60/C6))-(60/C6*C10))/(C9*C8))))*1000</f>
        <v/>
      </c>
      <c r="F116" s="27">
        <f>IF(AND(MOD((85/80*(60/C6)),(60/C6))&lt;(60/C6*C10),MOD((85/80*(60/C6)),(60/C6))&lt;C13),-ABS(C12)*SIN(PI()*MOD((85/80*(60/C6)),(60/C6))/C13),0)</f>
        <v/>
      </c>
      <c r="G116" s="27">
        <f>C7*(C11/(C8+C11))+(E116/1000)/C11+F116</f>
        <v/>
      </c>
      <c r="H116" s="27">
        <f>C116-G116</f>
        <v/>
      </c>
      <c r="I116" s="27">
        <f>C7+(E116/1000)/C8</f>
        <v/>
      </c>
    </row>
    <row r="117" ht="12.95" customHeight="1" s="44">
      <c r="B117" s="25">
        <f>(86/80*(60/C6))</f>
        <v/>
      </c>
      <c r="C117" s="25">
        <f>IF(MOD((86/80*(60/C6)),(60/C6))&lt;(60/C6*C10),C7+(IF(MOD((86/80*(60/C6)),(60/C6))&lt;(60/C6*C10),MIN(C5*MOD((86/80*(60/C6)),(60/C6)),C4),C4*EXP(-(MOD((86/80*(60/C6)),(60/C6))-(60/C6*C10))/(C9*C8))))/C8+C5*C9-F117,C7+(IF(MOD((86/80*(60/C6)),(60/C6))&lt;(60/C6*C10),MIN(C5*MOD((86/80*(60/C6)),(60/C6)),C4),C4*EXP(-(MOD((86/80*(60/C6)),(60/C6))-(60/C6*C10))/(C9*C8))))/C8)</f>
        <v/>
      </c>
      <c r="D117" s="25">
        <f>IF(MOD((86/80*(60/C6)),(60/C6))&lt;(60/C6*C10),C5*60,-(IF(MOD((86/80*(60/C6)),(60/C6))&lt;(60/C6*C10),MIN(C5*MOD((86/80*(60/C6)),(60/C6)),C4),C4*EXP(-(MOD((86/80*(60/C6)),(60/C6))-(60/C6*C10))/(C9*C8))))/(C9*C8)*60)</f>
        <v/>
      </c>
      <c r="E117" s="26">
        <f>(IF(MOD((86/80*(60/C6)),(60/C6))&lt;(60/C6*C10),MIN(C5*MOD((86/80*(60/C6)),(60/C6)),C4),C4*EXP(-(MOD((86/80*(60/C6)),(60/C6))-(60/C6*C10))/(C9*C8))))*1000</f>
        <v/>
      </c>
      <c r="F117" s="25">
        <f>IF(AND(MOD((86/80*(60/C6)),(60/C6))&lt;(60/C6*C10),MOD((86/80*(60/C6)),(60/C6))&lt;C13),-ABS(C12)*SIN(PI()*MOD((86/80*(60/C6)),(60/C6))/C13),0)</f>
        <v/>
      </c>
      <c r="G117" s="25">
        <f>C7*(C11/(C8+C11))+(E117/1000)/C11+F117</f>
        <v/>
      </c>
      <c r="H117" s="25">
        <f>C117-G117</f>
        <v/>
      </c>
      <c r="I117" s="25">
        <f>C7+(E117/1000)/C8</f>
        <v/>
      </c>
    </row>
    <row r="118" ht="12.95" customHeight="1" s="44">
      <c r="B118" s="27">
        <f>(87/80*(60/C6))</f>
        <v/>
      </c>
      <c r="C118" s="27">
        <f>IF(MOD((87/80*(60/C6)),(60/C6))&lt;(60/C6*C10),C7+(IF(MOD((87/80*(60/C6)),(60/C6))&lt;(60/C6*C10),MIN(C5*MOD((87/80*(60/C6)),(60/C6)),C4),C4*EXP(-(MOD((87/80*(60/C6)),(60/C6))-(60/C6*C10))/(C9*C8))))/C8+C5*C9-F118,C7+(IF(MOD((87/80*(60/C6)),(60/C6))&lt;(60/C6*C10),MIN(C5*MOD((87/80*(60/C6)),(60/C6)),C4),C4*EXP(-(MOD((87/80*(60/C6)),(60/C6))-(60/C6*C10))/(C9*C8))))/C8)</f>
        <v/>
      </c>
      <c r="D118" s="27">
        <f>IF(MOD((87/80*(60/C6)),(60/C6))&lt;(60/C6*C10),C5*60,-(IF(MOD((87/80*(60/C6)),(60/C6))&lt;(60/C6*C10),MIN(C5*MOD((87/80*(60/C6)),(60/C6)),C4),C4*EXP(-(MOD((87/80*(60/C6)),(60/C6))-(60/C6*C10))/(C9*C8))))/(C9*C8)*60)</f>
        <v/>
      </c>
      <c r="E118" s="28">
        <f>(IF(MOD((87/80*(60/C6)),(60/C6))&lt;(60/C6*C10),MIN(C5*MOD((87/80*(60/C6)),(60/C6)),C4),C4*EXP(-(MOD((87/80*(60/C6)),(60/C6))-(60/C6*C10))/(C9*C8))))*1000</f>
        <v/>
      </c>
      <c r="F118" s="27">
        <f>IF(AND(MOD((87/80*(60/C6)),(60/C6))&lt;(60/C6*C10),MOD((87/80*(60/C6)),(60/C6))&lt;C13),-ABS(C12)*SIN(PI()*MOD((87/80*(60/C6)),(60/C6))/C13),0)</f>
        <v/>
      </c>
      <c r="G118" s="27">
        <f>C7*(C11/(C8+C11))+(E118/1000)/C11+F118</f>
        <v/>
      </c>
      <c r="H118" s="27">
        <f>C118-G118</f>
        <v/>
      </c>
      <c r="I118" s="27">
        <f>C7+(E118/1000)/C8</f>
        <v/>
      </c>
    </row>
    <row r="119" ht="12.95" customHeight="1" s="44">
      <c r="B119" s="25">
        <f>(88/80*(60/C6))</f>
        <v/>
      </c>
      <c r="C119" s="25">
        <f>IF(MOD((88/80*(60/C6)),(60/C6))&lt;(60/C6*C10),C7+(IF(MOD((88/80*(60/C6)),(60/C6))&lt;(60/C6*C10),MIN(C5*MOD((88/80*(60/C6)),(60/C6)),C4),C4*EXP(-(MOD((88/80*(60/C6)),(60/C6))-(60/C6*C10))/(C9*C8))))/C8+C5*C9-F119,C7+(IF(MOD((88/80*(60/C6)),(60/C6))&lt;(60/C6*C10),MIN(C5*MOD((88/80*(60/C6)),(60/C6)),C4),C4*EXP(-(MOD((88/80*(60/C6)),(60/C6))-(60/C6*C10))/(C9*C8))))/C8)</f>
        <v/>
      </c>
      <c r="D119" s="25">
        <f>IF(MOD((88/80*(60/C6)),(60/C6))&lt;(60/C6*C10),C5*60,-(IF(MOD((88/80*(60/C6)),(60/C6))&lt;(60/C6*C10),MIN(C5*MOD((88/80*(60/C6)),(60/C6)),C4),C4*EXP(-(MOD((88/80*(60/C6)),(60/C6))-(60/C6*C10))/(C9*C8))))/(C9*C8)*60)</f>
        <v/>
      </c>
      <c r="E119" s="26">
        <f>(IF(MOD((88/80*(60/C6)),(60/C6))&lt;(60/C6*C10),MIN(C5*MOD((88/80*(60/C6)),(60/C6)),C4),C4*EXP(-(MOD((88/80*(60/C6)),(60/C6))-(60/C6*C10))/(C9*C8))))*1000</f>
        <v/>
      </c>
      <c r="F119" s="25">
        <f>IF(AND(MOD((88/80*(60/C6)),(60/C6))&lt;(60/C6*C10),MOD((88/80*(60/C6)),(60/C6))&lt;C13),-ABS(C12)*SIN(PI()*MOD((88/80*(60/C6)),(60/C6))/C13),0)</f>
        <v/>
      </c>
      <c r="G119" s="25">
        <f>C7*(C11/(C8+C11))+(E119/1000)/C11+F119</f>
        <v/>
      </c>
      <c r="H119" s="25">
        <f>C119-G119</f>
        <v/>
      </c>
      <c r="I119" s="25">
        <f>C7+(E119/1000)/C8</f>
        <v/>
      </c>
    </row>
    <row r="120" ht="12.95" customHeight="1" s="44">
      <c r="B120" s="27">
        <f>(89/80*(60/C6))</f>
        <v/>
      </c>
      <c r="C120" s="27">
        <f>IF(MOD((89/80*(60/C6)),(60/C6))&lt;(60/C6*C10),C7+(IF(MOD((89/80*(60/C6)),(60/C6))&lt;(60/C6*C10),MIN(C5*MOD((89/80*(60/C6)),(60/C6)),C4),C4*EXP(-(MOD((89/80*(60/C6)),(60/C6))-(60/C6*C10))/(C9*C8))))/C8+C5*C9-F120,C7+(IF(MOD((89/80*(60/C6)),(60/C6))&lt;(60/C6*C10),MIN(C5*MOD((89/80*(60/C6)),(60/C6)),C4),C4*EXP(-(MOD((89/80*(60/C6)),(60/C6))-(60/C6*C10))/(C9*C8))))/C8)</f>
        <v/>
      </c>
      <c r="D120" s="27">
        <f>IF(MOD((89/80*(60/C6)),(60/C6))&lt;(60/C6*C10),C5*60,-(IF(MOD((89/80*(60/C6)),(60/C6))&lt;(60/C6*C10),MIN(C5*MOD((89/80*(60/C6)),(60/C6)),C4),C4*EXP(-(MOD((89/80*(60/C6)),(60/C6))-(60/C6*C10))/(C9*C8))))/(C9*C8)*60)</f>
        <v/>
      </c>
      <c r="E120" s="28">
        <f>(IF(MOD((89/80*(60/C6)),(60/C6))&lt;(60/C6*C10),MIN(C5*MOD((89/80*(60/C6)),(60/C6)),C4),C4*EXP(-(MOD((89/80*(60/C6)),(60/C6))-(60/C6*C10))/(C9*C8))))*1000</f>
        <v/>
      </c>
      <c r="F120" s="27">
        <f>IF(AND(MOD((89/80*(60/C6)),(60/C6))&lt;(60/C6*C10),MOD((89/80*(60/C6)),(60/C6))&lt;C13),-ABS(C12)*SIN(PI()*MOD((89/80*(60/C6)),(60/C6))/C13),0)</f>
        <v/>
      </c>
      <c r="G120" s="27">
        <f>C7*(C11/(C8+C11))+(E120/1000)/C11+F120</f>
        <v/>
      </c>
      <c r="H120" s="27">
        <f>C120-G120</f>
        <v/>
      </c>
      <c r="I120" s="27">
        <f>C7+(E120/1000)/C8</f>
        <v/>
      </c>
    </row>
    <row r="121" ht="12.95" customHeight="1" s="44">
      <c r="B121" s="25">
        <f>(90/80*(60/C6))</f>
        <v/>
      </c>
      <c r="C121" s="25">
        <f>IF(MOD((90/80*(60/C6)),(60/C6))&lt;(60/C6*C10),C7+(IF(MOD((90/80*(60/C6)),(60/C6))&lt;(60/C6*C10),MIN(C5*MOD((90/80*(60/C6)),(60/C6)),C4),C4*EXP(-(MOD((90/80*(60/C6)),(60/C6))-(60/C6*C10))/(C9*C8))))/C8+C5*C9-F121,C7+(IF(MOD((90/80*(60/C6)),(60/C6))&lt;(60/C6*C10),MIN(C5*MOD((90/80*(60/C6)),(60/C6)),C4),C4*EXP(-(MOD((90/80*(60/C6)),(60/C6))-(60/C6*C10))/(C9*C8))))/C8)</f>
        <v/>
      </c>
      <c r="D121" s="25">
        <f>IF(MOD((90/80*(60/C6)),(60/C6))&lt;(60/C6*C10),C5*60,-(IF(MOD((90/80*(60/C6)),(60/C6))&lt;(60/C6*C10),MIN(C5*MOD((90/80*(60/C6)),(60/C6)),C4),C4*EXP(-(MOD((90/80*(60/C6)),(60/C6))-(60/C6*C10))/(C9*C8))))/(C9*C8)*60)</f>
        <v/>
      </c>
      <c r="E121" s="26">
        <f>(IF(MOD((90/80*(60/C6)),(60/C6))&lt;(60/C6*C10),MIN(C5*MOD((90/80*(60/C6)),(60/C6)),C4),C4*EXP(-(MOD((90/80*(60/C6)),(60/C6))-(60/C6*C10))/(C9*C8))))*1000</f>
        <v/>
      </c>
      <c r="F121" s="25">
        <f>IF(AND(MOD((90/80*(60/C6)),(60/C6))&lt;(60/C6*C10),MOD((90/80*(60/C6)),(60/C6))&lt;C13),-ABS(C12)*SIN(PI()*MOD((90/80*(60/C6)),(60/C6))/C13),0)</f>
        <v/>
      </c>
      <c r="G121" s="25">
        <f>C7*(C11/(C8+C11))+(E121/1000)/C11+F121</f>
        <v/>
      </c>
      <c r="H121" s="25">
        <f>C121-G121</f>
        <v/>
      </c>
      <c r="I121" s="25">
        <f>C7+(E121/1000)/C8</f>
        <v/>
      </c>
    </row>
    <row r="122" ht="12.95" customHeight="1" s="44">
      <c r="B122" s="27">
        <f>(91/80*(60/C6))</f>
        <v/>
      </c>
      <c r="C122" s="27">
        <f>IF(MOD((91/80*(60/C6)),(60/C6))&lt;(60/C6*C10),C7+(IF(MOD((91/80*(60/C6)),(60/C6))&lt;(60/C6*C10),MIN(C5*MOD((91/80*(60/C6)),(60/C6)),C4),C4*EXP(-(MOD((91/80*(60/C6)),(60/C6))-(60/C6*C10))/(C9*C8))))/C8+C5*C9-F122,C7+(IF(MOD((91/80*(60/C6)),(60/C6))&lt;(60/C6*C10),MIN(C5*MOD((91/80*(60/C6)),(60/C6)),C4),C4*EXP(-(MOD((91/80*(60/C6)),(60/C6))-(60/C6*C10))/(C9*C8))))/C8)</f>
        <v/>
      </c>
      <c r="D122" s="27">
        <f>IF(MOD((91/80*(60/C6)),(60/C6))&lt;(60/C6*C10),C5*60,-(IF(MOD((91/80*(60/C6)),(60/C6))&lt;(60/C6*C10),MIN(C5*MOD((91/80*(60/C6)),(60/C6)),C4),C4*EXP(-(MOD((91/80*(60/C6)),(60/C6))-(60/C6*C10))/(C9*C8))))/(C9*C8)*60)</f>
        <v/>
      </c>
      <c r="E122" s="28">
        <f>(IF(MOD((91/80*(60/C6)),(60/C6))&lt;(60/C6*C10),MIN(C5*MOD((91/80*(60/C6)),(60/C6)),C4),C4*EXP(-(MOD((91/80*(60/C6)),(60/C6))-(60/C6*C10))/(C9*C8))))*1000</f>
        <v/>
      </c>
      <c r="F122" s="27">
        <f>IF(AND(MOD((91/80*(60/C6)),(60/C6))&lt;(60/C6*C10),MOD((91/80*(60/C6)),(60/C6))&lt;C13),-ABS(C12)*SIN(PI()*MOD((91/80*(60/C6)),(60/C6))/C13),0)</f>
        <v/>
      </c>
      <c r="G122" s="27">
        <f>C7*(C11/(C8+C11))+(E122/1000)/C11+F122</f>
        <v/>
      </c>
      <c r="H122" s="27">
        <f>C122-G122</f>
        <v/>
      </c>
      <c r="I122" s="27">
        <f>C7+(E122/1000)/C8</f>
        <v/>
      </c>
    </row>
    <row r="123" ht="12.95" customHeight="1" s="44">
      <c r="B123" s="25">
        <f>(92/80*(60/C6))</f>
        <v/>
      </c>
      <c r="C123" s="25">
        <f>IF(MOD((92/80*(60/C6)),(60/C6))&lt;(60/C6*C10),C7+(IF(MOD((92/80*(60/C6)),(60/C6))&lt;(60/C6*C10),MIN(C5*MOD((92/80*(60/C6)),(60/C6)),C4),C4*EXP(-(MOD((92/80*(60/C6)),(60/C6))-(60/C6*C10))/(C9*C8))))/C8+C5*C9-F123,C7+(IF(MOD((92/80*(60/C6)),(60/C6))&lt;(60/C6*C10),MIN(C5*MOD((92/80*(60/C6)),(60/C6)),C4),C4*EXP(-(MOD((92/80*(60/C6)),(60/C6))-(60/C6*C10))/(C9*C8))))/C8)</f>
        <v/>
      </c>
      <c r="D123" s="25">
        <f>IF(MOD((92/80*(60/C6)),(60/C6))&lt;(60/C6*C10),C5*60,-(IF(MOD((92/80*(60/C6)),(60/C6))&lt;(60/C6*C10),MIN(C5*MOD((92/80*(60/C6)),(60/C6)),C4),C4*EXP(-(MOD((92/80*(60/C6)),(60/C6))-(60/C6*C10))/(C9*C8))))/(C9*C8)*60)</f>
        <v/>
      </c>
      <c r="E123" s="26">
        <f>(IF(MOD((92/80*(60/C6)),(60/C6))&lt;(60/C6*C10),MIN(C5*MOD((92/80*(60/C6)),(60/C6)),C4),C4*EXP(-(MOD((92/80*(60/C6)),(60/C6))-(60/C6*C10))/(C9*C8))))*1000</f>
        <v/>
      </c>
      <c r="F123" s="25">
        <f>IF(AND(MOD((92/80*(60/C6)),(60/C6))&lt;(60/C6*C10),MOD((92/80*(60/C6)),(60/C6))&lt;C13),-ABS(C12)*SIN(PI()*MOD((92/80*(60/C6)),(60/C6))/C13),0)</f>
        <v/>
      </c>
      <c r="G123" s="25">
        <f>C7*(C11/(C8+C11))+(E123/1000)/C11+F123</f>
        <v/>
      </c>
      <c r="H123" s="25">
        <f>C123-G123</f>
        <v/>
      </c>
      <c r="I123" s="25">
        <f>C7+(E123/1000)/C8</f>
        <v/>
      </c>
    </row>
    <row r="124" ht="12.95" customHeight="1" s="44">
      <c r="B124" s="27">
        <f>(93/80*(60/C6))</f>
        <v/>
      </c>
      <c r="C124" s="27">
        <f>IF(MOD((93/80*(60/C6)),(60/C6))&lt;(60/C6*C10),C7+(IF(MOD((93/80*(60/C6)),(60/C6))&lt;(60/C6*C10),MIN(C5*MOD((93/80*(60/C6)),(60/C6)),C4),C4*EXP(-(MOD((93/80*(60/C6)),(60/C6))-(60/C6*C10))/(C9*C8))))/C8+C5*C9-F124,C7+(IF(MOD((93/80*(60/C6)),(60/C6))&lt;(60/C6*C10),MIN(C5*MOD((93/80*(60/C6)),(60/C6)),C4),C4*EXP(-(MOD((93/80*(60/C6)),(60/C6))-(60/C6*C10))/(C9*C8))))/C8)</f>
        <v/>
      </c>
      <c r="D124" s="27">
        <f>IF(MOD((93/80*(60/C6)),(60/C6))&lt;(60/C6*C10),C5*60,-(IF(MOD((93/80*(60/C6)),(60/C6))&lt;(60/C6*C10),MIN(C5*MOD((93/80*(60/C6)),(60/C6)),C4),C4*EXP(-(MOD((93/80*(60/C6)),(60/C6))-(60/C6*C10))/(C9*C8))))/(C9*C8)*60)</f>
        <v/>
      </c>
      <c r="E124" s="28">
        <f>(IF(MOD((93/80*(60/C6)),(60/C6))&lt;(60/C6*C10),MIN(C5*MOD((93/80*(60/C6)),(60/C6)),C4),C4*EXP(-(MOD((93/80*(60/C6)),(60/C6))-(60/C6*C10))/(C9*C8))))*1000</f>
        <v/>
      </c>
      <c r="F124" s="27">
        <f>IF(AND(MOD((93/80*(60/C6)),(60/C6))&lt;(60/C6*C10),MOD((93/80*(60/C6)),(60/C6))&lt;C13),-ABS(C12)*SIN(PI()*MOD((93/80*(60/C6)),(60/C6))/C13),0)</f>
        <v/>
      </c>
      <c r="G124" s="27">
        <f>C7*(C11/(C8+C11))+(E124/1000)/C11+F124</f>
        <v/>
      </c>
      <c r="H124" s="27">
        <f>C124-G124</f>
        <v/>
      </c>
      <c r="I124" s="27">
        <f>C7+(E124/1000)/C8</f>
        <v/>
      </c>
    </row>
    <row r="125" ht="12.95" customHeight="1" s="44">
      <c r="B125" s="25">
        <f>(94/80*(60/C6))</f>
        <v/>
      </c>
      <c r="C125" s="25">
        <f>IF(MOD((94/80*(60/C6)),(60/C6))&lt;(60/C6*C10),C7+(IF(MOD((94/80*(60/C6)),(60/C6))&lt;(60/C6*C10),MIN(C5*MOD((94/80*(60/C6)),(60/C6)),C4),C4*EXP(-(MOD((94/80*(60/C6)),(60/C6))-(60/C6*C10))/(C9*C8))))/C8+C5*C9-F125,C7+(IF(MOD((94/80*(60/C6)),(60/C6))&lt;(60/C6*C10),MIN(C5*MOD((94/80*(60/C6)),(60/C6)),C4),C4*EXP(-(MOD((94/80*(60/C6)),(60/C6))-(60/C6*C10))/(C9*C8))))/C8)</f>
        <v/>
      </c>
      <c r="D125" s="25">
        <f>IF(MOD((94/80*(60/C6)),(60/C6))&lt;(60/C6*C10),C5*60,-(IF(MOD((94/80*(60/C6)),(60/C6))&lt;(60/C6*C10),MIN(C5*MOD((94/80*(60/C6)),(60/C6)),C4),C4*EXP(-(MOD((94/80*(60/C6)),(60/C6))-(60/C6*C10))/(C9*C8))))/(C9*C8)*60)</f>
        <v/>
      </c>
      <c r="E125" s="26">
        <f>(IF(MOD((94/80*(60/C6)),(60/C6))&lt;(60/C6*C10),MIN(C5*MOD((94/80*(60/C6)),(60/C6)),C4),C4*EXP(-(MOD((94/80*(60/C6)),(60/C6))-(60/C6*C10))/(C9*C8))))*1000</f>
        <v/>
      </c>
      <c r="F125" s="25">
        <f>IF(AND(MOD((94/80*(60/C6)),(60/C6))&lt;(60/C6*C10),MOD((94/80*(60/C6)),(60/C6))&lt;C13),-ABS(C12)*SIN(PI()*MOD((94/80*(60/C6)),(60/C6))/C13),0)</f>
        <v/>
      </c>
      <c r="G125" s="25">
        <f>C7*(C11/(C8+C11))+(E125/1000)/C11+F125</f>
        <v/>
      </c>
      <c r="H125" s="25">
        <f>C125-G125</f>
        <v/>
      </c>
      <c r="I125" s="25">
        <f>C7+(E125/1000)/C8</f>
        <v/>
      </c>
    </row>
    <row r="126" ht="12.95" customHeight="1" s="44">
      <c r="B126" s="27">
        <f>(95/80*(60/C6))</f>
        <v/>
      </c>
      <c r="C126" s="27">
        <f>IF(MOD((95/80*(60/C6)),(60/C6))&lt;(60/C6*C10),C7+(IF(MOD((95/80*(60/C6)),(60/C6))&lt;(60/C6*C10),MIN(C5*MOD((95/80*(60/C6)),(60/C6)),C4),C4*EXP(-(MOD((95/80*(60/C6)),(60/C6))-(60/C6*C10))/(C9*C8))))/C8+C5*C9-F126,C7+(IF(MOD((95/80*(60/C6)),(60/C6))&lt;(60/C6*C10),MIN(C5*MOD((95/80*(60/C6)),(60/C6)),C4),C4*EXP(-(MOD((95/80*(60/C6)),(60/C6))-(60/C6*C10))/(C9*C8))))/C8)</f>
        <v/>
      </c>
      <c r="D126" s="27">
        <f>IF(MOD((95/80*(60/C6)),(60/C6))&lt;(60/C6*C10),C5*60,-(IF(MOD((95/80*(60/C6)),(60/C6))&lt;(60/C6*C10),MIN(C5*MOD((95/80*(60/C6)),(60/C6)),C4),C4*EXP(-(MOD((95/80*(60/C6)),(60/C6))-(60/C6*C10))/(C9*C8))))/(C9*C8)*60)</f>
        <v/>
      </c>
      <c r="E126" s="28">
        <f>(IF(MOD((95/80*(60/C6)),(60/C6))&lt;(60/C6*C10),MIN(C5*MOD((95/80*(60/C6)),(60/C6)),C4),C4*EXP(-(MOD((95/80*(60/C6)),(60/C6))-(60/C6*C10))/(C9*C8))))*1000</f>
        <v/>
      </c>
      <c r="F126" s="27">
        <f>IF(AND(MOD((95/80*(60/C6)),(60/C6))&lt;(60/C6*C10),MOD((95/80*(60/C6)),(60/C6))&lt;C13),-ABS(C12)*SIN(PI()*MOD((95/80*(60/C6)),(60/C6))/C13),0)</f>
        <v/>
      </c>
      <c r="G126" s="27">
        <f>C7*(C11/(C8+C11))+(E126/1000)/C11+F126</f>
        <v/>
      </c>
      <c r="H126" s="27">
        <f>C126-G126</f>
        <v/>
      </c>
      <c r="I126" s="27">
        <f>C7+(E126/1000)/C8</f>
        <v/>
      </c>
    </row>
    <row r="127" ht="12.95" customHeight="1" s="44">
      <c r="B127" s="25">
        <f>(96/80*(60/C6))</f>
        <v/>
      </c>
      <c r="C127" s="25">
        <f>IF(MOD((96/80*(60/C6)),(60/C6))&lt;(60/C6*C10),C7+(IF(MOD((96/80*(60/C6)),(60/C6))&lt;(60/C6*C10),MIN(C5*MOD((96/80*(60/C6)),(60/C6)),C4),C4*EXP(-(MOD((96/80*(60/C6)),(60/C6))-(60/C6*C10))/(C9*C8))))/C8+C5*C9-F127,C7+(IF(MOD((96/80*(60/C6)),(60/C6))&lt;(60/C6*C10),MIN(C5*MOD((96/80*(60/C6)),(60/C6)),C4),C4*EXP(-(MOD((96/80*(60/C6)),(60/C6))-(60/C6*C10))/(C9*C8))))/C8)</f>
        <v/>
      </c>
      <c r="D127" s="25">
        <f>IF(MOD((96/80*(60/C6)),(60/C6))&lt;(60/C6*C10),C5*60,-(IF(MOD((96/80*(60/C6)),(60/C6))&lt;(60/C6*C10),MIN(C5*MOD((96/80*(60/C6)),(60/C6)),C4),C4*EXP(-(MOD((96/80*(60/C6)),(60/C6))-(60/C6*C10))/(C9*C8))))/(C9*C8)*60)</f>
        <v/>
      </c>
      <c r="E127" s="26">
        <f>(IF(MOD((96/80*(60/C6)),(60/C6))&lt;(60/C6*C10),MIN(C5*MOD((96/80*(60/C6)),(60/C6)),C4),C4*EXP(-(MOD((96/80*(60/C6)),(60/C6))-(60/C6*C10))/(C9*C8))))*1000</f>
        <v/>
      </c>
      <c r="F127" s="25">
        <f>IF(AND(MOD((96/80*(60/C6)),(60/C6))&lt;(60/C6*C10),MOD((96/80*(60/C6)),(60/C6))&lt;C13),-ABS(C12)*SIN(PI()*MOD((96/80*(60/C6)),(60/C6))/C13),0)</f>
        <v/>
      </c>
      <c r="G127" s="25">
        <f>C7*(C11/(C8+C11))+(E127/1000)/C11+F127</f>
        <v/>
      </c>
      <c r="H127" s="25">
        <f>C127-G127</f>
        <v/>
      </c>
      <c r="I127" s="25">
        <f>C7+(E127/1000)/C8</f>
        <v/>
      </c>
    </row>
    <row r="128" ht="12.95" customHeight="1" s="44">
      <c r="B128" s="27">
        <f>(97/80*(60/C6))</f>
        <v/>
      </c>
      <c r="C128" s="27">
        <f>IF(MOD((97/80*(60/C6)),(60/C6))&lt;(60/C6*C10),C7+(IF(MOD((97/80*(60/C6)),(60/C6))&lt;(60/C6*C10),MIN(C5*MOD((97/80*(60/C6)),(60/C6)),C4),C4*EXP(-(MOD((97/80*(60/C6)),(60/C6))-(60/C6*C10))/(C9*C8))))/C8+C5*C9-F128,C7+(IF(MOD((97/80*(60/C6)),(60/C6))&lt;(60/C6*C10),MIN(C5*MOD((97/80*(60/C6)),(60/C6)),C4),C4*EXP(-(MOD((97/80*(60/C6)),(60/C6))-(60/C6*C10))/(C9*C8))))/C8)</f>
        <v/>
      </c>
      <c r="D128" s="27">
        <f>IF(MOD((97/80*(60/C6)),(60/C6))&lt;(60/C6*C10),C5*60,-(IF(MOD((97/80*(60/C6)),(60/C6))&lt;(60/C6*C10),MIN(C5*MOD((97/80*(60/C6)),(60/C6)),C4),C4*EXP(-(MOD((97/80*(60/C6)),(60/C6))-(60/C6*C10))/(C9*C8))))/(C9*C8)*60)</f>
        <v/>
      </c>
      <c r="E128" s="28">
        <f>(IF(MOD((97/80*(60/C6)),(60/C6))&lt;(60/C6*C10),MIN(C5*MOD((97/80*(60/C6)),(60/C6)),C4),C4*EXP(-(MOD((97/80*(60/C6)),(60/C6))-(60/C6*C10))/(C9*C8))))*1000</f>
        <v/>
      </c>
      <c r="F128" s="27">
        <f>IF(AND(MOD((97/80*(60/C6)),(60/C6))&lt;(60/C6*C10),MOD((97/80*(60/C6)),(60/C6))&lt;C13),-ABS(C12)*SIN(PI()*MOD((97/80*(60/C6)),(60/C6))/C13),0)</f>
        <v/>
      </c>
      <c r="G128" s="27">
        <f>C7*(C11/(C8+C11))+(E128/1000)/C11+F128</f>
        <v/>
      </c>
      <c r="H128" s="27">
        <f>C128-G128</f>
        <v/>
      </c>
      <c r="I128" s="27">
        <f>C7+(E128/1000)/C8</f>
        <v/>
      </c>
    </row>
    <row r="129" ht="12.95" customHeight="1" s="44">
      <c r="B129" s="25">
        <f>(98/80*(60/C6))</f>
        <v/>
      </c>
      <c r="C129" s="25">
        <f>IF(MOD((98/80*(60/C6)),(60/C6))&lt;(60/C6*C10),C7+(IF(MOD((98/80*(60/C6)),(60/C6))&lt;(60/C6*C10),MIN(C5*MOD((98/80*(60/C6)),(60/C6)),C4),C4*EXP(-(MOD((98/80*(60/C6)),(60/C6))-(60/C6*C10))/(C9*C8))))/C8+C5*C9-F129,C7+(IF(MOD((98/80*(60/C6)),(60/C6))&lt;(60/C6*C10),MIN(C5*MOD((98/80*(60/C6)),(60/C6)),C4),C4*EXP(-(MOD((98/80*(60/C6)),(60/C6))-(60/C6*C10))/(C9*C8))))/C8)</f>
        <v/>
      </c>
      <c r="D129" s="25">
        <f>IF(MOD((98/80*(60/C6)),(60/C6))&lt;(60/C6*C10),C5*60,-(IF(MOD((98/80*(60/C6)),(60/C6))&lt;(60/C6*C10),MIN(C5*MOD((98/80*(60/C6)),(60/C6)),C4),C4*EXP(-(MOD((98/80*(60/C6)),(60/C6))-(60/C6*C10))/(C9*C8))))/(C9*C8)*60)</f>
        <v/>
      </c>
      <c r="E129" s="26">
        <f>(IF(MOD((98/80*(60/C6)),(60/C6))&lt;(60/C6*C10),MIN(C5*MOD((98/80*(60/C6)),(60/C6)),C4),C4*EXP(-(MOD((98/80*(60/C6)),(60/C6))-(60/C6*C10))/(C9*C8))))*1000</f>
        <v/>
      </c>
      <c r="F129" s="25">
        <f>IF(AND(MOD((98/80*(60/C6)),(60/C6))&lt;(60/C6*C10),MOD((98/80*(60/C6)),(60/C6))&lt;C13),-ABS(C12)*SIN(PI()*MOD((98/80*(60/C6)),(60/C6))/C13),0)</f>
        <v/>
      </c>
      <c r="G129" s="25">
        <f>C7*(C11/(C8+C11))+(E129/1000)/C11+F129</f>
        <v/>
      </c>
      <c r="H129" s="25">
        <f>C129-G129</f>
        <v/>
      </c>
      <c r="I129" s="25">
        <f>C7+(E129/1000)/C8</f>
        <v/>
      </c>
    </row>
    <row r="130" ht="12.95" customHeight="1" s="44">
      <c r="B130" s="27">
        <f>(99/80*(60/C6))</f>
        <v/>
      </c>
      <c r="C130" s="27">
        <f>IF(MOD((99/80*(60/C6)),(60/C6))&lt;(60/C6*C10),C7+(IF(MOD((99/80*(60/C6)),(60/C6))&lt;(60/C6*C10),MIN(C5*MOD((99/80*(60/C6)),(60/C6)),C4),C4*EXP(-(MOD((99/80*(60/C6)),(60/C6))-(60/C6*C10))/(C9*C8))))/C8+C5*C9-F130,C7+(IF(MOD((99/80*(60/C6)),(60/C6))&lt;(60/C6*C10),MIN(C5*MOD((99/80*(60/C6)),(60/C6)),C4),C4*EXP(-(MOD((99/80*(60/C6)),(60/C6))-(60/C6*C10))/(C9*C8))))/C8)</f>
        <v/>
      </c>
      <c r="D130" s="27">
        <f>IF(MOD((99/80*(60/C6)),(60/C6))&lt;(60/C6*C10),C5*60,-(IF(MOD((99/80*(60/C6)),(60/C6))&lt;(60/C6*C10),MIN(C5*MOD((99/80*(60/C6)),(60/C6)),C4),C4*EXP(-(MOD((99/80*(60/C6)),(60/C6))-(60/C6*C10))/(C9*C8))))/(C9*C8)*60)</f>
        <v/>
      </c>
      <c r="E130" s="28">
        <f>(IF(MOD((99/80*(60/C6)),(60/C6))&lt;(60/C6*C10),MIN(C5*MOD((99/80*(60/C6)),(60/C6)),C4),C4*EXP(-(MOD((99/80*(60/C6)),(60/C6))-(60/C6*C10))/(C9*C8))))*1000</f>
        <v/>
      </c>
      <c r="F130" s="27">
        <f>IF(AND(MOD((99/80*(60/C6)),(60/C6))&lt;(60/C6*C10),MOD((99/80*(60/C6)),(60/C6))&lt;C13),-ABS(C12)*SIN(PI()*MOD((99/80*(60/C6)),(60/C6))/C13),0)</f>
        <v/>
      </c>
      <c r="G130" s="27">
        <f>C7*(C11/(C8+C11))+(E130/1000)/C11+F130</f>
        <v/>
      </c>
      <c r="H130" s="27">
        <f>C130-G130</f>
        <v/>
      </c>
      <c r="I130" s="27">
        <f>C7+(E130/1000)/C8</f>
        <v/>
      </c>
    </row>
    <row r="131" ht="12.95" customHeight="1" s="44">
      <c r="B131" s="25">
        <f>(100/80*(60/C6))</f>
        <v/>
      </c>
      <c r="C131" s="25">
        <f>IF(MOD((100/80*(60/C6)),(60/C6))&lt;(60/C6*C10),C7+(IF(MOD((100/80*(60/C6)),(60/C6))&lt;(60/C6*C10),MIN(C5*MOD((100/80*(60/C6)),(60/C6)),C4),C4*EXP(-(MOD((100/80*(60/C6)),(60/C6))-(60/C6*C10))/(C9*C8))))/C8+C5*C9-F131,C7+(IF(MOD((100/80*(60/C6)),(60/C6))&lt;(60/C6*C10),MIN(C5*MOD((100/80*(60/C6)),(60/C6)),C4),C4*EXP(-(MOD((100/80*(60/C6)),(60/C6))-(60/C6*C10))/(C9*C8))))/C8)</f>
        <v/>
      </c>
      <c r="D131" s="25">
        <f>IF(MOD((100/80*(60/C6)),(60/C6))&lt;(60/C6*C10),C5*60,-(IF(MOD((100/80*(60/C6)),(60/C6))&lt;(60/C6*C10),MIN(C5*MOD((100/80*(60/C6)),(60/C6)),C4),C4*EXP(-(MOD((100/80*(60/C6)),(60/C6))-(60/C6*C10))/(C9*C8))))/(C9*C8)*60)</f>
        <v/>
      </c>
      <c r="E131" s="26">
        <f>(IF(MOD((100/80*(60/C6)),(60/C6))&lt;(60/C6*C10),MIN(C5*MOD((100/80*(60/C6)),(60/C6)),C4),C4*EXP(-(MOD((100/80*(60/C6)),(60/C6))-(60/C6*C10))/(C9*C8))))*1000</f>
        <v/>
      </c>
      <c r="F131" s="25">
        <f>IF(AND(MOD((100/80*(60/C6)),(60/C6))&lt;(60/C6*C10),MOD((100/80*(60/C6)),(60/C6))&lt;C13),-ABS(C12)*SIN(PI()*MOD((100/80*(60/C6)),(60/C6))/C13),0)</f>
        <v/>
      </c>
      <c r="G131" s="25">
        <f>C7*(C11/(C8+C11))+(E131/1000)/C11+F131</f>
        <v/>
      </c>
      <c r="H131" s="25">
        <f>C131-G131</f>
        <v/>
      </c>
      <c r="I131" s="25">
        <f>C7+(E131/1000)/C8</f>
        <v/>
      </c>
    </row>
    <row r="132" ht="12.95" customHeight="1" s="44">
      <c r="B132" s="27">
        <f>(101/80*(60/C6))</f>
        <v/>
      </c>
      <c r="C132" s="27">
        <f>IF(MOD((101/80*(60/C6)),(60/C6))&lt;(60/C6*C10),C7+(IF(MOD((101/80*(60/C6)),(60/C6))&lt;(60/C6*C10),MIN(C5*MOD((101/80*(60/C6)),(60/C6)),C4),C4*EXP(-(MOD((101/80*(60/C6)),(60/C6))-(60/C6*C10))/(C9*C8))))/C8+C5*C9-F132,C7+(IF(MOD((101/80*(60/C6)),(60/C6))&lt;(60/C6*C10),MIN(C5*MOD((101/80*(60/C6)),(60/C6)),C4),C4*EXP(-(MOD((101/80*(60/C6)),(60/C6))-(60/C6*C10))/(C9*C8))))/C8)</f>
        <v/>
      </c>
      <c r="D132" s="27">
        <f>IF(MOD((101/80*(60/C6)),(60/C6))&lt;(60/C6*C10),C5*60,-(IF(MOD((101/80*(60/C6)),(60/C6))&lt;(60/C6*C10),MIN(C5*MOD((101/80*(60/C6)),(60/C6)),C4),C4*EXP(-(MOD((101/80*(60/C6)),(60/C6))-(60/C6*C10))/(C9*C8))))/(C9*C8)*60)</f>
        <v/>
      </c>
      <c r="E132" s="28">
        <f>(IF(MOD((101/80*(60/C6)),(60/C6))&lt;(60/C6*C10),MIN(C5*MOD((101/80*(60/C6)),(60/C6)),C4),C4*EXP(-(MOD((101/80*(60/C6)),(60/C6))-(60/C6*C10))/(C9*C8))))*1000</f>
        <v/>
      </c>
      <c r="F132" s="27">
        <f>IF(AND(MOD((101/80*(60/C6)),(60/C6))&lt;(60/C6*C10),MOD((101/80*(60/C6)),(60/C6))&lt;C13),-ABS(C12)*SIN(PI()*MOD((101/80*(60/C6)),(60/C6))/C13),0)</f>
        <v/>
      </c>
      <c r="G132" s="27">
        <f>C7*(C11/(C8+C11))+(E132/1000)/C11+F132</f>
        <v/>
      </c>
      <c r="H132" s="27">
        <f>C132-G132</f>
        <v/>
      </c>
      <c r="I132" s="27">
        <f>C7+(E132/1000)/C8</f>
        <v/>
      </c>
    </row>
    <row r="133" ht="12.95" customHeight="1" s="44">
      <c r="B133" s="25">
        <f>(102/80*(60/C6))</f>
        <v/>
      </c>
      <c r="C133" s="25">
        <f>IF(MOD((102/80*(60/C6)),(60/C6))&lt;(60/C6*C10),C7+(IF(MOD((102/80*(60/C6)),(60/C6))&lt;(60/C6*C10),MIN(C5*MOD((102/80*(60/C6)),(60/C6)),C4),C4*EXP(-(MOD((102/80*(60/C6)),(60/C6))-(60/C6*C10))/(C9*C8))))/C8+C5*C9-F133,C7+(IF(MOD((102/80*(60/C6)),(60/C6))&lt;(60/C6*C10),MIN(C5*MOD((102/80*(60/C6)),(60/C6)),C4),C4*EXP(-(MOD((102/80*(60/C6)),(60/C6))-(60/C6*C10))/(C9*C8))))/C8)</f>
        <v/>
      </c>
      <c r="D133" s="25">
        <f>IF(MOD((102/80*(60/C6)),(60/C6))&lt;(60/C6*C10),C5*60,-(IF(MOD((102/80*(60/C6)),(60/C6))&lt;(60/C6*C10),MIN(C5*MOD((102/80*(60/C6)),(60/C6)),C4),C4*EXP(-(MOD((102/80*(60/C6)),(60/C6))-(60/C6*C10))/(C9*C8))))/(C9*C8)*60)</f>
        <v/>
      </c>
      <c r="E133" s="26">
        <f>(IF(MOD((102/80*(60/C6)),(60/C6))&lt;(60/C6*C10),MIN(C5*MOD((102/80*(60/C6)),(60/C6)),C4),C4*EXP(-(MOD((102/80*(60/C6)),(60/C6))-(60/C6*C10))/(C9*C8))))*1000</f>
        <v/>
      </c>
      <c r="F133" s="25">
        <f>IF(AND(MOD((102/80*(60/C6)),(60/C6))&lt;(60/C6*C10),MOD((102/80*(60/C6)),(60/C6))&lt;C13),-ABS(C12)*SIN(PI()*MOD((102/80*(60/C6)),(60/C6))/C13),0)</f>
        <v/>
      </c>
      <c r="G133" s="25">
        <f>C7*(C11/(C8+C11))+(E133/1000)/C11+F133</f>
        <v/>
      </c>
      <c r="H133" s="25">
        <f>C133-G133</f>
        <v/>
      </c>
      <c r="I133" s="25">
        <f>C7+(E133/1000)/C8</f>
        <v/>
      </c>
    </row>
    <row r="134" ht="12.95" customHeight="1" s="44">
      <c r="B134" s="27">
        <f>(103/80*(60/C6))</f>
        <v/>
      </c>
      <c r="C134" s="27">
        <f>IF(MOD((103/80*(60/C6)),(60/C6))&lt;(60/C6*C10),C7+(IF(MOD((103/80*(60/C6)),(60/C6))&lt;(60/C6*C10),MIN(C5*MOD((103/80*(60/C6)),(60/C6)),C4),C4*EXP(-(MOD((103/80*(60/C6)),(60/C6))-(60/C6*C10))/(C9*C8))))/C8+C5*C9-F134,C7+(IF(MOD((103/80*(60/C6)),(60/C6))&lt;(60/C6*C10),MIN(C5*MOD((103/80*(60/C6)),(60/C6)),C4),C4*EXP(-(MOD((103/80*(60/C6)),(60/C6))-(60/C6*C10))/(C9*C8))))/C8)</f>
        <v/>
      </c>
      <c r="D134" s="27">
        <f>IF(MOD((103/80*(60/C6)),(60/C6))&lt;(60/C6*C10),C5*60,-(IF(MOD((103/80*(60/C6)),(60/C6))&lt;(60/C6*C10),MIN(C5*MOD((103/80*(60/C6)),(60/C6)),C4),C4*EXP(-(MOD((103/80*(60/C6)),(60/C6))-(60/C6*C10))/(C9*C8))))/(C9*C8)*60)</f>
        <v/>
      </c>
      <c r="E134" s="28">
        <f>(IF(MOD((103/80*(60/C6)),(60/C6))&lt;(60/C6*C10),MIN(C5*MOD((103/80*(60/C6)),(60/C6)),C4),C4*EXP(-(MOD((103/80*(60/C6)),(60/C6))-(60/C6*C10))/(C9*C8))))*1000</f>
        <v/>
      </c>
      <c r="F134" s="27">
        <f>IF(AND(MOD((103/80*(60/C6)),(60/C6))&lt;(60/C6*C10),MOD((103/80*(60/C6)),(60/C6))&lt;C13),-ABS(C12)*SIN(PI()*MOD((103/80*(60/C6)),(60/C6))/C13),0)</f>
        <v/>
      </c>
      <c r="G134" s="27">
        <f>C7*(C11/(C8+C11))+(E134/1000)/C11+F134</f>
        <v/>
      </c>
      <c r="H134" s="27">
        <f>C134-G134</f>
        <v/>
      </c>
      <c r="I134" s="27">
        <f>C7+(E134/1000)/C8</f>
        <v/>
      </c>
    </row>
    <row r="135" ht="12.95" customHeight="1" s="44">
      <c r="B135" s="25">
        <f>(104/80*(60/C6))</f>
        <v/>
      </c>
      <c r="C135" s="25">
        <f>IF(MOD((104/80*(60/C6)),(60/C6))&lt;(60/C6*C10),C7+(IF(MOD((104/80*(60/C6)),(60/C6))&lt;(60/C6*C10),MIN(C5*MOD((104/80*(60/C6)),(60/C6)),C4),C4*EXP(-(MOD((104/80*(60/C6)),(60/C6))-(60/C6*C10))/(C9*C8))))/C8+C5*C9-F135,C7+(IF(MOD((104/80*(60/C6)),(60/C6))&lt;(60/C6*C10),MIN(C5*MOD((104/80*(60/C6)),(60/C6)),C4),C4*EXP(-(MOD((104/80*(60/C6)),(60/C6))-(60/C6*C10))/(C9*C8))))/C8)</f>
        <v/>
      </c>
      <c r="D135" s="25">
        <f>IF(MOD((104/80*(60/C6)),(60/C6))&lt;(60/C6*C10),C5*60,-(IF(MOD((104/80*(60/C6)),(60/C6))&lt;(60/C6*C10),MIN(C5*MOD((104/80*(60/C6)),(60/C6)),C4),C4*EXP(-(MOD((104/80*(60/C6)),(60/C6))-(60/C6*C10))/(C9*C8))))/(C9*C8)*60)</f>
        <v/>
      </c>
      <c r="E135" s="26">
        <f>(IF(MOD((104/80*(60/C6)),(60/C6))&lt;(60/C6*C10),MIN(C5*MOD((104/80*(60/C6)),(60/C6)),C4),C4*EXP(-(MOD((104/80*(60/C6)),(60/C6))-(60/C6*C10))/(C9*C8))))*1000</f>
        <v/>
      </c>
      <c r="F135" s="25">
        <f>IF(AND(MOD((104/80*(60/C6)),(60/C6))&lt;(60/C6*C10),MOD((104/80*(60/C6)),(60/C6))&lt;C13),-ABS(C12)*SIN(PI()*MOD((104/80*(60/C6)),(60/C6))/C13),0)</f>
        <v/>
      </c>
      <c r="G135" s="25">
        <f>C7*(C11/(C8+C11))+(E135/1000)/C11+F135</f>
        <v/>
      </c>
      <c r="H135" s="25">
        <f>C135-G135</f>
        <v/>
      </c>
      <c r="I135" s="25">
        <f>C7+(E135/1000)/C8</f>
        <v/>
      </c>
    </row>
    <row r="136" ht="12.95" customHeight="1" s="44">
      <c r="B136" s="27">
        <f>(105/80*(60/C6))</f>
        <v/>
      </c>
      <c r="C136" s="27">
        <f>IF(MOD((105/80*(60/C6)),(60/C6))&lt;(60/C6*C10),C7+(IF(MOD((105/80*(60/C6)),(60/C6))&lt;(60/C6*C10),MIN(C5*MOD((105/80*(60/C6)),(60/C6)),C4),C4*EXP(-(MOD((105/80*(60/C6)),(60/C6))-(60/C6*C10))/(C9*C8))))/C8+C5*C9-F136,C7+(IF(MOD((105/80*(60/C6)),(60/C6))&lt;(60/C6*C10),MIN(C5*MOD((105/80*(60/C6)),(60/C6)),C4),C4*EXP(-(MOD((105/80*(60/C6)),(60/C6))-(60/C6*C10))/(C9*C8))))/C8)</f>
        <v/>
      </c>
      <c r="D136" s="27">
        <f>IF(MOD((105/80*(60/C6)),(60/C6))&lt;(60/C6*C10),C5*60,-(IF(MOD((105/80*(60/C6)),(60/C6))&lt;(60/C6*C10),MIN(C5*MOD((105/80*(60/C6)),(60/C6)),C4),C4*EXP(-(MOD((105/80*(60/C6)),(60/C6))-(60/C6*C10))/(C9*C8))))/(C9*C8)*60)</f>
        <v/>
      </c>
      <c r="E136" s="28">
        <f>(IF(MOD((105/80*(60/C6)),(60/C6))&lt;(60/C6*C10),MIN(C5*MOD((105/80*(60/C6)),(60/C6)),C4),C4*EXP(-(MOD((105/80*(60/C6)),(60/C6))-(60/C6*C10))/(C9*C8))))*1000</f>
        <v/>
      </c>
      <c r="F136" s="27">
        <f>IF(AND(MOD((105/80*(60/C6)),(60/C6))&lt;(60/C6*C10),MOD((105/80*(60/C6)),(60/C6))&lt;C13),-ABS(C12)*SIN(PI()*MOD((105/80*(60/C6)),(60/C6))/C13),0)</f>
        <v/>
      </c>
      <c r="G136" s="27">
        <f>C7*(C11/(C8+C11))+(E136/1000)/C11+F136</f>
        <v/>
      </c>
      <c r="H136" s="27">
        <f>C136-G136</f>
        <v/>
      </c>
      <c r="I136" s="27">
        <f>C7+(E136/1000)/C8</f>
        <v/>
      </c>
    </row>
    <row r="137" ht="12.95" customHeight="1" s="44">
      <c r="B137" s="25">
        <f>(106/80*(60/C6))</f>
        <v/>
      </c>
      <c r="C137" s="25">
        <f>IF(MOD((106/80*(60/C6)),(60/C6))&lt;(60/C6*C10),C7+(IF(MOD((106/80*(60/C6)),(60/C6))&lt;(60/C6*C10),MIN(C5*MOD((106/80*(60/C6)),(60/C6)),C4),C4*EXP(-(MOD((106/80*(60/C6)),(60/C6))-(60/C6*C10))/(C9*C8))))/C8+C5*C9-F137,C7+(IF(MOD((106/80*(60/C6)),(60/C6))&lt;(60/C6*C10),MIN(C5*MOD((106/80*(60/C6)),(60/C6)),C4),C4*EXP(-(MOD((106/80*(60/C6)),(60/C6))-(60/C6*C10))/(C9*C8))))/C8)</f>
        <v/>
      </c>
      <c r="D137" s="25">
        <f>IF(MOD((106/80*(60/C6)),(60/C6))&lt;(60/C6*C10),C5*60,-(IF(MOD((106/80*(60/C6)),(60/C6))&lt;(60/C6*C10),MIN(C5*MOD((106/80*(60/C6)),(60/C6)),C4),C4*EXP(-(MOD((106/80*(60/C6)),(60/C6))-(60/C6*C10))/(C9*C8))))/(C9*C8)*60)</f>
        <v/>
      </c>
      <c r="E137" s="26">
        <f>(IF(MOD((106/80*(60/C6)),(60/C6))&lt;(60/C6*C10),MIN(C5*MOD((106/80*(60/C6)),(60/C6)),C4),C4*EXP(-(MOD((106/80*(60/C6)),(60/C6))-(60/C6*C10))/(C9*C8))))*1000</f>
        <v/>
      </c>
      <c r="F137" s="25">
        <f>IF(AND(MOD((106/80*(60/C6)),(60/C6))&lt;(60/C6*C10),MOD((106/80*(60/C6)),(60/C6))&lt;C13),-ABS(C12)*SIN(PI()*MOD((106/80*(60/C6)),(60/C6))/C13),0)</f>
        <v/>
      </c>
      <c r="G137" s="25">
        <f>C7*(C11/(C8+C11))+(E137/1000)/C11+F137</f>
        <v/>
      </c>
      <c r="H137" s="25">
        <f>C137-G137</f>
        <v/>
      </c>
      <c r="I137" s="25">
        <f>C7+(E137/1000)/C8</f>
        <v/>
      </c>
    </row>
    <row r="138" ht="12.95" customHeight="1" s="44">
      <c r="B138" s="27">
        <f>(107/80*(60/C6))</f>
        <v/>
      </c>
      <c r="C138" s="27">
        <f>IF(MOD((107/80*(60/C6)),(60/C6))&lt;(60/C6*C10),C7+(IF(MOD((107/80*(60/C6)),(60/C6))&lt;(60/C6*C10),MIN(C5*MOD((107/80*(60/C6)),(60/C6)),C4),C4*EXP(-(MOD((107/80*(60/C6)),(60/C6))-(60/C6*C10))/(C9*C8))))/C8+C5*C9-F138,C7+(IF(MOD((107/80*(60/C6)),(60/C6))&lt;(60/C6*C10),MIN(C5*MOD((107/80*(60/C6)),(60/C6)),C4),C4*EXP(-(MOD((107/80*(60/C6)),(60/C6))-(60/C6*C10))/(C9*C8))))/C8)</f>
        <v/>
      </c>
      <c r="D138" s="27">
        <f>IF(MOD((107/80*(60/C6)),(60/C6))&lt;(60/C6*C10),C5*60,-(IF(MOD((107/80*(60/C6)),(60/C6))&lt;(60/C6*C10),MIN(C5*MOD((107/80*(60/C6)),(60/C6)),C4),C4*EXP(-(MOD((107/80*(60/C6)),(60/C6))-(60/C6*C10))/(C9*C8))))/(C9*C8)*60)</f>
        <v/>
      </c>
      <c r="E138" s="28">
        <f>(IF(MOD((107/80*(60/C6)),(60/C6))&lt;(60/C6*C10),MIN(C5*MOD((107/80*(60/C6)),(60/C6)),C4),C4*EXP(-(MOD((107/80*(60/C6)),(60/C6))-(60/C6*C10))/(C9*C8))))*1000</f>
        <v/>
      </c>
      <c r="F138" s="27">
        <f>IF(AND(MOD((107/80*(60/C6)),(60/C6))&lt;(60/C6*C10),MOD((107/80*(60/C6)),(60/C6))&lt;C13),-ABS(C12)*SIN(PI()*MOD((107/80*(60/C6)),(60/C6))/C13),0)</f>
        <v/>
      </c>
      <c r="G138" s="27">
        <f>C7*(C11/(C8+C11))+(E138/1000)/C11+F138</f>
        <v/>
      </c>
      <c r="H138" s="27">
        <f>C138-G138</f>
        <v/>
      </c>
      <c r="I138" s="27">
        <f>C7+(E138/1000)/C8</f>
        <v/>
      </c>
    </row>
    <row r="139" ht="12.95" customHeight="1" s="44">
      <c r="B139" s="25">
        <f>(108/80*(60/C6))</f>
        <v/>
      </c>
      <c r="C139" s="25">
        <f>IF(MOD((108/80*(60/C6)),(60/C6))&lt;(60/C6*C10),C7+(IF(MOD((108/80*(60/C6)),(60/C6))&lt;(60/C6*C10),MIN(C5*MOD((108/80*(60/C6)),(60/C6)),C4),C4*EXP(-(MOD((108/80*(60/C6)),(60/C6))-(60/C6*C10))/(C9*C8))))/C8+C5*C9-F139,C7+(IF(MOD((108/80*(60/C6)),(60/C6))&lt;(60/C6*C10),MIN(C5*MOD((108/80*(60/C6)),(60/C6)),C4),C4*EXP(-(MOD((108/80*(60/C6)),(60/C6))-(60/C6*C10))/(C9*C8))))/C8)</f>
        <v/>
      </c>
      <c r="D139" s="25">
        <f>IF(MOD((108/80*(60/C6)),(60/C6))&lt;(60/C6*C10),C5*60,-(IF(MOD((108/80*(60/C6)),(60/C6))&lt;(60/C6*C10),MIN(C5*MOD((108/80*(60/C6)),(60/C6)),C4),C4*EXP(-(MOD((108/80*(60/C6)),(60/C6))-(60/C6*C10))/(C9*C8))))/(C9*C8)*60)</f>
        <v/>
      </c>
      <c r="E139" s="26">
        <f>(IF(MOD((108/80*(60/C6)),(60/C6))&lt;(60/C6*C10),MIN(C5*MOD((108/80*(60/C6)),(60/C6)),C4),C4*EXP(-(MOD((108/80*(60/C6)),(60/C6))-(60/C6*C10))/(C9*C8))))*1000</f>
        <v/>
      </c>
      <c r="F139" s="25">
        <f>IF(AND(MOD((108/80*(60/C6)),(60/C6))&lt;(60/C6*C10),MOD((108/80*(60/C6)),(60/C6))&lt;C13),-ABS(C12)*SIN(PI()*MOD((108/80*(60/C6)),(60/C6))/C13),0)</f>
        <v/>
      </c>
      <c r="G139" s="25">
        <f>C7*(C11/(C8+C11))+(E139/1000)/C11+F139</f>
        <v/>
      </c>
      <c r="H139" s="25">
        <f>C139-G139</f>
        <v/>
      </c>
      <c r="I139" s="25">
        <f>C7+(E139/1000)/C8</f>
        <v/>
      </c>
    </row>
    <row r="140" ht="12.95" customHeight="1" s="44">
      <c r="B140" s="27">
        <f>(109/80*(60/C6))</f>
        <v/>
      </c>
      <c r="C140" s="27">
        <f>IF(MOD((109/80*(60/C6)),(60/C6))&lt;(60/C6*C10),C7+(IF(MOD((109/80*(60/C6)),(60/C6))&lt;(60/C6*C10),MIN(C5*MOD((109/80*(60/C6)),(60/C6)),C4),C4*EXP(-(MOD((109/80*(60/C6)),(60/C6))-(60/C6*C10))/(C9*C8))))/C8+C5*C9-F140,C7+(IF(MOD((109/80*(60/C6)),(60/C6))&lt;(60/C6*C10),MIN(C5*MOD((109/80*(60/C6)),(60/C6)),C4),C4*EXP(-(MOD((109/80*(60/C6)),(60/C6))-(60/C6*C10))/(C9*C8))))/C8)</f>
        <v/>
      </c>
      <c r="D140" s="27">
        <f>IF(MOD((109/80*(60/C6)),(60/C6))&lt;(60/C6*C10),C5*60,-(IF(MOD((109/80*(60/C6)),(60/C6))&lt;(60/C6*C10),MIN(C5*MOD((109/80*(60/C6)),(60/C6)),C4),C4*EXP(-(MOD((109/80*(60/C6)),(60/C6))-(60/C6*C10))/(C9*C8))))/(C9*C8)*60)</f>
        <v/>
      </c>
      <c r="E140" s="28">
        <f>(IF(MOD((109/80*(60/C6)),(60/C6))&lt;(60/C6*C10),MIN(C5*MOD((109/80*(60/C6)),(60/C6)),C4),C4*EXP(-(MOD((109/80*(60/C6)),(60/C6))-(60/C6*C10))/(C9*C8))))*1000</f>
        <v/>
      </c>
      <c r="F140" s="27">
        <f>IF(AND(MOD((109/80*(60/C6)),(60/C6))&lt;(60/C6*C10),MOD((109/80*(60/C6)),(60/C6))&lt;C13),-ABS(C12)*SIN(PI()*MOD((109/80*(60/C6)),(60/C6))/C13),0)</f>
        <v/>
      </c>
      <c r="G140" s="27">
        <f>C7*(C11/(C8+C11))+(E140/1000)/C11+F140</f>
        <v/>
      </c>
      <c r="H140" s="27">
        <f>C140-G140</f>
        <v/>
      </c>
      <c r="I140" s="27">
        <f>C7+(E140/1000)/C8</f>
        <v/>
      </c>
    </row>
    <row r="141" ht="12.95" customHeight="1" s="44">
      <c r="B141" s="25">
        <f>(110/80*(60/C6))</f>
        <v/>
      </c>
      <c r="C141" s="25">
        <f>IF(MOD((110/80*(60/C6)),(60/C6))&lt;(60/C6*C10),C7+(IF(MOD((110/80*(60/C6)),(60/C6))&lt;(60/C6*C10),MIN(C5*MOD((110/80*(60/C6)),(60/C6)),C4),C4*EXP(-(MOD((110/80*(60/C6)),(60/C6))-(60/C6*C10))/(C9*C8))))/C8+C5*C9-F141,C7+(IF(MOD((110/80*(60/C6)),(60/C6))&lt;(60/C6*C10),MIN(C5*MOD((110/80*(60/C6)),(60/C6)),C4),C4*EXP(-(MOD((110/80*(60/C6)),(60/C6))-(60/C6*C10))/(C9*C8))))/C8)</f>
        <v/>
      </c>
      <c r="D141" s="25">
        <f>IF(MOD((110/80*(60/C6)),(60/C6))&lt;(60/C6*C10),C5*60,-(IF(MOD((110/80*(60/C6)),(60/C6))&lt;(60/C6*C10),MIN(C5*MOD((110/80*(60/C6)),(60/C6)),C4),C4*EXP(-(MOD((110/80*(60/C6)),(60/C6))-(60/C6*C10))/(C9*C8))))/(C9*C8)*60)</f>
        <v/>
      </c>
      <c r="E141" s="26">
        <f>(IF(MOD((110/80*(60/C6)),(60/C6))&lt;(60/C6*C10),MIN(C5*MOD((110/80*(60/C6)),(60/C6)),C4),C4*EXP(-(MOD((110/80*(60/C6)),(60/C6))-(60/C6*C10))/(C9*C8))))*1000</f>
        <v/>
      </c>
      <c r="F141" s="25">
        <f>IF(AND(MOD((110/80*(60/C6)),(60/C6))&lt;(60/C6*C10),MOD((110/80*(60/C6)),(60/C6))&lt;C13),-ABS(C12)*SIN(PI()*MOD((110/80*(60/C6)),(60/C6))/C13),0)</f>
        <v/>
      </c>
      <c r="G141" s="25">
        <f>C7*(C11/(C8+C11))+(E141/1000)/C11+F141</f>
        <v/>
      </c>
      <c r="H141" s="25">
        <f>C141-G141</f>
        <v/>
      </c>
      <c r="I141" s="25">
        <f>C7+(E141/1000)/C8</f>
        <v/>
      </c>
    </row>
    <row r="142" ht="12.95" customHeight="1" s="44">
      <c r="B142" s="27">
        <f>(111/80*(60/C6))</f>
        <v/>
      </c>
      <c r="C142" s="27">
        <f>IF(MOD((111/80*(60/C6)),(60/C6))&lt;(60/C6*C10),C7+(IF(MOD((111/80*(60/C6)),(60/C6))&lt;(60/C6*C10),MIN(C5*MOD((111/80*(60/C6)),(60/C6)),C4),C4*EXP(-(MOD((111/80*(60/C6)),(60/C6))-(60/C6*C10))/(C9*C8))))/C8+C5*C9-F142,C7+(IF(MOD((111/80*(60/C6)),(60/C6))&lt;(60/C6*C10),MIN(C5*MOD((111/80*(60/C6)),(60/C6)),C4),C4*EXP(-(MOD((111/80*(60/C6)),(60/C6))-(60/C6*C10))/(C9*C8))))/C8)</f>
        <v/>
      </c>
      <c r="D142" s="27">
        <f>IF(MOD((111/80*(60/C6)),(60/C6))&lt;(60/C6*C10),C5*60,-(IF(MOD((111/80*(60/C6)),(60/C6))&lt;(60/C6*C10),MIN(C5*MOD((111/80*(60/C6)),(60/C6)),C4),C4*EXP(-(MOD((111/80*(60/C6)),(60/C6))-(60/C6*C10))/(C9*C8))))/(C9*C8)*60)</f>
        <v/>
      </c>
      <c r="E142" s="28">
        <f>(IF(MOD((111/80*(60/C6)),(60/C6))&lt;(60/C6*C10),MIN(C5*MOD((111/80*(60/C6)),(60/C6)),C4),C4*EXP(-(MOD((111/80*(60/C6)),(60/C6))-(60/C6*C10))/(C9*C8))))*1000</f>
        <v/>
      </c>
      <c r="F142" s="27">
        <f>IF(AND(MOD((111/80*(60/C6)),(60/C6))&lt;(60/C6*C10),MOD((111/80*(60/C6)),(60/C6))&lt;C13),-ABS(C12)*SIN(PI()*MOD((111/80*(60/C6)),(60/C6))/C13),0)</f>
        <v/>
      </c>
      <c r="G142" s="27">
        <f>C7*(C11/(C8+C11))+(E142/1000)/C11+F142</f>
        <v/>
      </c>
      <c r="H142" s="27">
        <f>C142-G142</f>
        <v/>
      </c>
      <c r="I142" s="27">
        <f>C7+(E142/1000)/C8</f>
        <v/>
      </c>
    </row>
    <row r="143" ht="12.95" customHeight="1" s="44">
      <c r="B143" s="25">
        <f>(112/80*(60/C6))</f>
        <v/>
      </c>
      <c r="C143" s="25">
        <f>IF(MOD((112/80*(60/C6)),(60/C6))&lt;(60/C6*C10),C7+(IF(MOD((112/80*(60/C6)),(60/C6))&lt;(60/C6*C10),MIN(C5*MOD((112/80*(60/C6)),(60/C6)),C4),C4*EXP(-(MOD((112/80*(60/C6)),(60/C6))-(60/C6*C10))/(C9*C8))))/C8+C5*C9-F143,C7+(IF(MOD((112/80*(60/C6)),(60/C6))&lt;(60/C6*C10),MIN(C5*MOD((112/80*(60/C6)),(60/C6)),C4),C4*EXP(-(MOD((112/80*(60/C6)),(60/C6))-(60/C6*C10))/(C9*C8))))/C8)</f>
        <v/>
      </c>
      <c r="D143" s="25">
        <f>IF(MOD((112/80*(60/C6)),(60/C6))&lt;(60/C6*C10),C5*60,-(IF(MOD((112/80*(60/C6)),(60/C6))&lt;(60/C6*C10),MIN(C5*MOD((112/80*(60/C6)),(60/C6)),C4),C4*EXP(-(MOD((112/80*(60/C6)),(60/C6))-(60/C6*C10))/(C9*C8))))/(C9*C8)*60)</f>
        <v/>
      </c>
      <c r="E143" s="26">
        <f>(IF(MOD((112/80*(60/C6)),(60/C6))&lt;(60/C6*C10),MIN(C5*MOD((112/80*(60/C6)),(60/C6)),C4),C4*EXP(-(MOD((112/80*(60/C6)),(60/C6))-(60/C6*C10))/(C9*C8))))*1000</f>
        <v/>
      </c>
      <c r="F143" s="25">
        <f>IF(AND(MOD((112/80*(60/C6)),(60/C6))&lt;(60/C6*C10),MOD((112/80*(60/C6)),(60/C6))&lt;C13),-ABS(C12)*SIN(PI()*MOD((112/80*(60/C6)),(60/C6))/C13),0)</f>
        <v/>
      </c>
      <c r="G143" s="25">
        <f>C7*(C11/(C8+C11))+(E143/1000)/C11+F143</f>
        <v/>
      </c>
      <c r="H143" s="25">
        <f>C143-G143</f>
        <v/>
      </c>
      <c r="I143" s="25">
        <f>C7+(E143/1000)/C8</f>
        <v/>
      </c>
    </row>
    <row r="144" ht="12.95" customHeight="1" s="44">
      <c r="B144" s="27">
        <f>(113/80*(60/C6))</f>
        <v/>
      </c>
      <c r="C144" s="27">
        <f>IF(MOD((113/80*(60/C6)),(60/C6))&lt;(60/C6*C10),C7+(IF(MOD((113/80*(60/C6)),(60/C6))&lt;(60/C6*C10),MIN(C5*MOD((113/80*(60/C6)),(60/C6)),C4),C4*EXP(-(MOD((113/80*(60/C6)),(60/C6))-(60/C6*C10))/(C9*C8))))/C8+C5*C9-F144,C7+(IF(MOD((113/80*(60/C6)),(60/C6))&lt;(60/C6*C10),MIN(C5*MOD((113/80*(60/C6)),(60/C6)),C4),C4*EXP(-(MOD((113/80*(60/C6)),(60/C6))-(60/C6*C10))/(C9*C8))))/C8)</f>
        <v/>
      </c>
      <c r="D144" s="27">
        <f>IF(MOD((113/80*(60/C6)),(60/C6))&lt;(60/C6*C10),C5*60,-(IF(MOD((113/80*(60/C6)),(60/C6))&lt;(60/C6*C10),MIN(C5*MOD((113/80*(60/C6)),(60/C6)),C4),C4*EXP(-(MOD((113/80*(60/C6)),(60/C6))-(60/C6*C10))/(C9*C8))))/(C9*C8)*60)</f>
        <v/>
      </c>
      <c r="E144" s="28">
        <f>(IF(MOD((113/80*(60/C6)),(60/C6))&lt;(60/C6*C10),MIN(C5*MOD((113/80*(60/C6)),(60/C6)),C4),C4*EXP(-(MOD((113/80*(60/C6)),(60/C6))-(60/C6*C10))/(C9*C8))))*1000</f>
        <v/>
      </c>
      <c r="F144" s="27">
        <f>IF(AND(MOD((113/80*(60/C6)),(60/C6))&lt;(60/C6*C10),MOD((113/80*(60/C6)),(60/C6))&lt;C13),-ABS(C12)*SIN(PI()*MOD((113/80*(60/C6)),(60/C6))/C13),0)</f>
        <v/>
      </c>
      <c r="G144" s="27">
        <f>C7*(C11/(C8+C11))+(E144/1000)/C11+F144</f>
        <v/>
      </c>
      <c r="H144" s="27">
        <f>C144-G144</f>
        <v/>
      </c>
      <c r="I144" s="27">
        <f>C7+(E144/1000)/C8</f>
        <v/>
      </c>
    </row>
    <row r="145" ht="12.95" customHeight="1" s="44">
      <c r="B145" s="25">
        <f>(114/80*(60/C6))</f>
        <v/>
      </c>
      <c r="C145" s="25">
        <f>IF(MOD((114/80*(60/C6)),(60/C6))&lt;(60/C6*C10),C7+(IF(MOD((114/80*(60/C6)),(60/C6))&lt;(60/C6*C10),MIN(C5*MOD((114/80*(60/C6)),(60/C6)),C4),C4*EXP(-(MOD((114/80*(60/C6)),(60/C6))-(60/C6*C10))/(C9*C8))))/C8+C5*C9-F145,C7+(IF(MOD((114/80*(60/C6)),(60/C6))&lt;(60/C6*C10),MIN(C5*MOD((114/80*(60/C6)),(60/C6)),C4),C4*EXP(-(MOD((114/80*(60/C6)),(60/C6))-(60/C6*C10))/(C9*C8))))/C8)</f>
        <v/>
      </c>
      <c r="D145" s="25">
        <f>IF(MOD((114/80*(60/C6)),(60/C6))&lt;(60/C6*C10),C5*60,-(IF(MOD((114/80*(60/C6)),(60/C6))&lt;(60/C6*C10),MIN(C5*MOD((114/80*(60/C6)),(60/C6)),C4),C4*EXP(-(MOD((114/80*(60/C6)),(60/C6))-(60/C6*C10))/(C9*C8))))/(C9*C8)*60)</f>
        <v/>
      </c>
      <c r="E145" s="26">
        <f>(IF(MOD((114/80*(60/C6)),(60/C6))&lt;(60/C6*C10),MIN(C5*MOD((114/80*(60/C6)),(60/C6)),C4),C4*EXP(-(MOD((114/80*(60/C6)),(60/C6))-(60/C6*C10))/(C9*C8))))*1000</f>
        <v/>
      </c>
      <c r="F145" s="25">
        <f>IF(AND(MOD((114/80*(60/C6)),(60/C6))&lt;(60/C6*C10),MOD((114/80*(60/C6)),(60/C6))&lt;C13),-ABS(C12)*SIN(PI()*MOD((114/80*(60/C6)),(60/C6))/C13),0)</f>
        <v/>
      </c>
      <c r="G145" s="25">
        <f>C7*(C11/(C8+C11))+(E145/1000)/C11+F145</f>
        <v/>
      </c>
      <c r="H145" s="25">
        <f>C145-G145</f>
        <v/>
      </c>
      <c r="I145" s="25">
        <f>C7+(E145/1000)/C8</f>
        <v/>
      </c>
    </row>
    <row r="146" ht="12.95" customHeight="1" s="44">
      <c r="B146" s="27">
        <f>(115/80*(60/C6))</f>
        <v/>
      </c>
      <c r="C146" s="27">
        <f>IF(MOD((115/80*(60/C6)),(60/C6))&lt;(60/C6*C10),C7+(IF(MOD((115/80*(60/C6)),(60/C6))&lt;(60/C6*C10),MIN(C5*MOD((115/80*(60/C6)),(60/C6)),C4),C4*EXP(-(MOD((115/80*(60/C6)),(60/C6))-(60/C6*C10))/(C9*C8))))/C8+C5*C9-F146,C7+(IF(MOD((115/80*(60/C6)),(60/C6))&lt;(60/C6*C10),MIN(C5*MOD((115/80*(60/C6)),(60/C6)),C4),C4*EXP(-(MOD((115/80*(60/C6)),(60/C6))-(60/C6*C10))/(C9*C8))))/C8)</f>
        <v/>
      </c>
      <c r="D146" s="27">
        <f>IF(MOD((115/80*(60/C6)),(60/C6))&lt;(60/C6*C10),C5*60,-(IF(MOD((115/80*(60/C6)),(60/C6))&lt;(60/C6*C10),MIN(C5*MOD((115/80*(60/C6)),(60/C6)),C4),C4*EXP(-(MOD((115/80*(60/C6)),(60/C6))-(60/C6*C10))/(C9*C8))))/(C9*C8)*60)</f>
        <v/>
      </c>
      <c r="E146" s="28">
        <f>(IF(MOD((115/80*(60/C6)),(60/C6))&lt;(60/C6*C10),MIN(C5*MOD((115/80*(60/C6)),(60/C6)),C4),C4*EXP(-(MOD((115/80*(60/C6)),(60/C6))-(60/C6*C10))/(C9*C8))))*1000</f>
        <v/>
      </c>
      <c r="F146" s="27">
        <f>IF(AND(MOD((115/80*(60/C6)),(60/C6))&lt;(60/C6*C10),MOD((115/80*(60/C6)),(60/C6))&lt;C13),-ABS(C12)*SIN(PI()*MOD((115/80*(60/C6)),(60/C6))/C13),0)</f>
        <v/>
      </c>
      <c r="G146" s="27">
        <f>C7*(C11/(C8+C11))+(E146/1000)/C11+F146</f>
        <v/>
      </c>
      <c r="H146" s="27">
        <f>C146-G146</f>
        <v/>
      </c>
      <c r="I146" s="27">
        <f>C7+(E146/1000)/C8</f>
        <v/>
      </c>
    </row>
    <row r="147" ht="12.95" customHeight="1" s="44">
      <c r="B147" s="25">
        <f>(116/80*(60/C6))</f>
        <v/>
      </c>
      <c r="C147" s="25">
        <f>IF(MOD((116/80*(60/C6)),(60/C6))&lt;(60/C6*C10),C7+(IF(MOD((116/80*(60/C6)),(60/C6))&lt;(60/C6*C10),MIN(C5*MOD((116/80*(60/C6)),(60/C6)),C4),C4*EXP(-(MOD((116/80*(60/C6)),(60/C6))-(60/C6*C10))/(C9*C8))))/C8+C5*C9-F147,C7+(IF(MOD((116/80*(60/C6)),(60/C6))&lt;(60/C6*C10),MIN(C5*MOD((116/80*(60/C6)),(60/C6)),C4),C4*EXP(-(MOD((116/80*(60/C6)),(60/C6))-(60/C6*C10))/(C9*C8))))/C8)</f>
        <v/>
      </c>
      <c r="D147" s="25">
        <f>IF(MOD((116/80*(60/C6)),(60/C6))&lt;(60/C6*C10),C5*60,-(IF(MOD((116/80*(60/C6)),(60/C6))&lt;(60/C6*C10),MIN(C5*MOD((116/80*(60/C6)),(60/C6)),C4),C4*EXP(-(MOD((116/80*(60/C6)),(60/C6))-(60/C6*C10))/(C9*C8))))/(C9*C8)*60)</f>
        <v/>
      </c>
      <c r="E147" s="26">
        <f>(IF(MOD((116/80*(60/C6)),(60/C6))&lt;(60/C6*C10),MIN(C5*MOD((116/80*(60/C6)),(60/C6)),C4),C4*EXP(-(MOD((116/80*(60/C6)),(60/C6))-(60/C6*C10))/(C9*C8))))*1000</f>
        <v/>
      </c>
      <c r="F147" s="25">
        <f>IF(AND(MOD((116/80*(60/C6)),(60/C6))&lt;(60/C6*C10),MOD((116/80*(60/C6)),(60/C6))&lt;C13),-ABS(C12)*SIN(PI()*MOD((116/80*(60/C6)),(60/C6))/C13),0)</f>
        <v/>
      </c>
      <c r="G147" s="25">
        <f>C7*(C11/(C8+C11))+(E147/1000)/C11+F147</f>
        <v/>
      </c>
      <c r="H147" s="25">
        <f>C147-G147</f>
        <v/>
      </c>
      <c r="I147" s="25">
        <f>C7+(E147/1000)/C8</f>
        <v/>
      </c>
    </row>
    <row r="148" ht="12.95" customHeight="1" s="44">
      <c r="B148" s="27">
        <f>(117/80*(60/C6))</f>
        <v/>
      </c>
      <c r="C148" s="27">
        <f>IF(MOD((117/80*(60/C6)),(60/C6))&lt;(60/C6*C10),C7+(IF(MOD((117/80*(60/C6)),(60/C6))&lt;(60/C6*C10),MIN(C5*MOD((117/80*(60/C6)),(60/C6)),C4),C4*EXP(-(MOD((117/80*(60/C6)),(60/C6))-(60/C6*C10))/(C9*C8))))/C8+C5*C9-F148,C7+(IF(MOD((117/80*(60/C6)),(60/C6))&lt;(60/C6*C10),MIN(C5*MOD((117/80*(60/C6)),(60/C6)),C4),C4*EXP(-(MOD((117/80*(60/C6)),(60/C6))-(60/C6*C10))/(C9*C8))))/C8)</f>
        <v/>
      </c>
      <c r="D148" s="27">
        <f>IF(MOD((117/80*(60/C6)),(60/C6))&lt;(60/C6*C10),C5*60,-(IF(MOD((117/80*(60/C6)),(60/C6))&lt;(60/C6*C10),MIN(C5*MOD((117/80*(60/C6)),(60/C6)),C4),C4*EXP(-(MOD((117/80*(60/C6)),(60/C6))-(60/C6*C10))/(C9*C8))))/(C9*C8)*60)</f>
        <v/>
      </c>
      <c r="E148" s="28">
        <f>(IF(MOD((117/80*(60/C6)),(60/C6))&lt;(60/C6*C10),MIN(C5*MOD((117/80*(60/C6)),(60/C6)),C4),C4*EXP(-(MOD((117/80*(60/C6)),(60/C6))-(60/C6*C10))/(C9*C8))))*1000</f>
        <v/>
      </c>
      <c r="F148" s="27">
        <f>IF(AND(MOD((117/80*(60/C6)),(60/C6))&lt;(60/C6*C10),MOD((117/80*(60/C6)),(60/C6))&lt;C13),-ABS(C12)*SIN(PI()*MOD((117/80*(60/C6)),(60/C6))/C13),0)</f>
        <v/>
      </c>
      <c r="G148" s="27">
        <f>C7*(C11/(C8+C11))+(E148/1000)/C11+F148</f>
        <v/>
      </c>
      <c r="H148" s="27">
        <f>C148-G148</f>
        <v/>
      </c>
      <c r="I148" s="27">
        <f>C7+(E148/1000)/C8</f>
        <v/>
      </c>
    </row>
    <row r="149" ht="12.95" customHeight="1" s="44">
      <c r="B149" s="25">
        <f>(118/80*(60/C6))</f>
        <v/>
      </c>
      <c r="C149" s="25">
        <f>IF(MOD((118/80*(60/C6)),(60/C6))&lt;(60/C6*C10),C7+(IF(MOD((118/80*(60/C6)),(60/C6))&lt;(60/C6*C10),MIN(C5*MOD((118/80*(60/C6)),(60/C6)),C4),C4*EXP(-(MOD((118/80*(60/C6)),(60/C6))-(60/C6*C10))/(C9*C8))))/C8+C5*C9-F149,C7+(IF(MOD((118/80*(60/C6)),(60/C6))&lt;(60/C6*C10),MIN(C5*MOD((118/80*(60/C6)),(60/C6)),C4),C4*EXP(-(MOD((118/80*(60/C6)),(60/C6))-(60/C6*C10))/(C9*C8))))/C8)</f>
        <v/>
      </c>
      <c r="D149" s="25">
        <f>IF(MOD((118/80*(60/C6)),(60/C6))&lt;(60/C6*C10),C5*60,-(IF(MOD((118/80*(60/C6)),(60/C6))&lt;(60/C6*C10),MIN(C5*MOD((118/80*(60/C6)),(60/C6)),C4),C4*EXP(-(MOD((118/80*(60/C6)),(60/C6))-(60/C6*C10))/(C9*C8))))/(C9*C8)*60)</f>
        <v/>
      </c>
      <c r="E149" s="26">
        <f>(IF(MOD((118/80*(60/C6)),(60/C6))&lt;(60/C6*C10),MIN(C5*MOD((118/80*(60/C6)),(60/C6)),C4),C4*EXP(-(MOD((118/80*(60/C6)),(60/C6))-(60/C6*C10))/(C9*C8))))*1000</f>
        <v/>
      </c>
      <c r="F149" s="25">
        <f>IF(AND(MOD((118/80*(60/C6)),(60/C6))&lt;(60/C6*C10),MOD((118/80*(60/C6)),(60/C6))&lt;C13),-ABS(C12)*SIN(PI()*MOD((118/80*(60/C6)),(60/C6))/C13),0)</f>
        <v/>
      </c>
      <c r="G149" s="25">
        <f>C7*(C11/(C8+C11))+(E149/1000)/C11+F149</f>
        <v/>
      </c>
      <c r="H149" s="25">
        <f>C149-G149</f>
        <v/>
      </c>
      <c r="I149" s="25">
        <f>C7+(E149/1000)/C8</f>
        <v/>
      </c>
    </row>
    <row r="150" ht="12.95" customHeight="1" s="44">
      <c r="B150" s="27">
        <f>(119/80*(60/C6))</f>
        <v/>
      </c>
      <c r="C150" s="27">
        <f>IF(MOD((119/80*(60/C6)),(60/C6))&lt;(60/C6*C10),C7+(IF(MOD((119/80*(60/C6)),(60/C6))&lt;(60/C6*C10),MIN(C5*MOD((119/80*(60/C6)),(60/C6)),C4),C4*EXP(-(MOD((119/80*(60/C6)),(60/C6))-(60/C6*C10))/(C9*C8))))/C8+C5*C9-F150,C7+(IF(MOD((119/80*(60/C6)),(60/C6))&lt;(60/C6*C10),MIN(C5*MOD((119/80*(60/C6)),(60/C6)),C4),C4*EXP(-(MOD((119/80*(60/C6)),(60/C6))-(60/C6*C10))/(C9*C8))))/C8)</f>
        <v/>
      </c>
      <c r="D150" s="27">
        <f>IF(MOD((119/80*(60/C6)),(60/C6))&lt;(60/C6*C10),C5*60,-(IF(MOD((119/80*(60/C6)),(60/C6))&lt;(60/C6*C10),MIN(C5*MOD((119/80*(60/C6)),(60/C6)),C4),C4*EXP(-(MOD((119/80*(60/C6)),(60/C6))-(60/C6*C10))/(C9*C8))))/(C9*C8)*60)</f>
        <v/>
      </c>
      <c r="E150" s="28">
        <f>(IF(MOD((119/80*(60/C6)),(60/C6))&lt;(60/C6*C10),MIN(C5*MOD((119/80*(60/C6)),(60/C6)),C4),C4*EXP(-(MOD((119/80*(60/C6)),(60/C6))-(60/C6*C10))/(C9*C8))))*1000</f>
        <v/>
      </c>
      <c r="F150" s="27">
        <f>IF(AND(MOD((119/80*(60/C6)),(60/C6))&lt;(60/C6*C10),MOD((119/80*(60/C6)),(60/C6))&lt;C13),-ABS(C12)*SIN(PI()*MOD((119/80*(60/C6)),(60/C6))/C13),0)</f>
        <v/>
      </c>
      <c r="G150" s="27">
        <f>C7*(C11/(C8+C11))+(E150/1000)/C11+F150</f>
        <v/>
      </c>
      <c r="H150" s="27">
        <f>C150-G150</f>
        <v/>
      </c>
      <c r="I150" s="27">
        <f>C7+(E150/1000)/C8</f>
        <v/>
      </c>
    </row>
    <row r="151" ht="12.95" customHeight="1" s="44">
      <c r="B151" s="25">
        <f>(120/80*(60/C6))</f>
        <v/>
      </c>
      <c r="C151" s="25">
        <f>IF(MOD((120/80*(60/C6)),(60/C6))&lt;(60/C6*C10),C7+(IF(MOD((120/80*(60/C6)),(60/C6))&lt;(60/C6*C10),MIN(C5*MOD((120/80*(60/C6)),(60/C6)),C4),C4*EXP(-(MOD((120/80*(60/C6)),(60/C6))-(60/C6*C10))/(C9*C8))))/C8+C5*C9-F151,C7+(IF(MOD((120/80*(60/C6)),(60/C6))&lt;(60/C6*C10),MIN(C5*MOD((120/80*(60/C6)),(60/C6)),C4),C4*EXP(-(MOD((120/80*(60/C6)),(60/C6))-(60/C6*C10))/(C9*C8))))/C8)</f>
        <v/>
      </c>
      <c r="D151" s="25">
        <f>IF(MOD((120/80*(60/C6)),(60/C6))&lt;(60/C6*C10),C5*60,-(IF(MOD((120/80*(60/C6)),(60/C6))&lt;(60/C6*C10),MIN(C5*MOD((120/80*(60/C6)),(60/C6)),C4),C4*EXP(-(MOD((120/80*(60/C6)),(60/C6))-(60/C6*C10))/(C9*C8))))/(C9*C8)*60)</f>
        <v/>
      </c>
      <c r="E151" s="26">
        <f>(IF(MOD((120/80*(60/C6)),(60/C6))&lt;(60/C6*C10),MIN(C5*MOD((120/80*(60/C6)),(60/C6)),C4),C4*EXP(-(MOD((120/80*(60/C6)),(60/C6))-(60/C6*C10))/(C9*C8))))*1000</f>
        <v/>
      </c>
      <c r="F151" s="25">
        <f>IF(AND(MOD((120/80*(60/C6)),(60/C6))&lt;(60/C6*C10),MOD((120/80*(60/C6)),(60/C6))&lt;C13),-ABS(C12)*SIN(PI()*MOD((120/80*(60/C6)),(60/C6))/C13),0)</f>
        <v/>
      </c>
      <c r="G151" s="25">
        <f>C7*(C11/(C8+C11))+(E151/1000)/C11+F151</f>
        <v/>
      </c>
      <c r="H151" s="25">
        <f>C151-G151</f>
        <v/>
      </c>
      <c r="I151" s="25">
        <f>C7+(E151/1000)/C8</f>
        <v/>
      </c>
    </row>
    <row r="152" ht="12.95" customHeight="1" s="44">
      <c r="B152" s="27">
        <f>(121/80*(60/C6))</f>
        <v/>
      </c>
      <c r="C152" s="27">
        <f>IF(MOD((121/80*(60/C6)),(60/C6))&lt;(60/C6*C10),C7+(IF(MOD((121/80*(60/C6)),(60/C6))&lt;(60/C6*C10),MIN(C5*MOD((121/80*(60/C6)),(60/C6)),C4),C4*EXP(-(MOD((121/80*(60/C6)),(60/C6))-(60/C6*C10))/(C9*C8))))/C8+C5*C9-F152,C7+(IF(MOD((121/80*(60/C6)),(60/C6))&lt;(60/C6*C10),MIN(C5*MOD((121/80*(60/C6)),(60/C6)),C4),C4*EXP(-(MOD((121/80*(60/C6)),(60/C6))-(60/C6*C10))/(C9*C8))))/C8)</f>
        <v/>
      </c>
      <c r="D152" s="27">
        <f>IF(MOD((121/80*(60/C6)),(60/C6))&lt;(60/C6*C10),C5*60,-(IF(MOD((121/80*(60/C6)),(60/C6))&lt;(60/C6*C10),MIN(C5*MOD((121/80*(60/C6)),(60/C6)),C4),C4*EXP(-(MOD((121/80*(60/C6)),(60/C6))-(60/C6*C10))/(C9*C8))))/(C9*C8)*60)</f>
        <v/>
      </c>
      <c r="E152" s="28">
        <f>(IF(MOD((121/80*(60/C6)),(60/C6))&lt;(60/C6*C10),MIN(C5*MOD((121/80*(60/C6)),(60/C6)),C4),C4*EXP(-(MOD((121/80*(60/C6)),(60/C6))-(60/C6*C10))/(C9*C8))))*1000</f>
        <v/>
      </c>
      <c r="F152" s="27">
        <f>IF(AND(MOD((121/80*(60/C6)),(60/C6))&lt;(60/C6*C10),MOD((121/80*(60/C6)),(60/C6))&lt;C13),-ABS(C12)*SIN(PI()*MOD((121/80*(60/C6)),(60/C6))/C13),0)</f>
        <v/>
      </c>
      <c r="G152" s="27">
        <f>C7*(C11/(C8+C11))+(E152/1000)/C11+F152</f>
        <v/>
      </c>
      <c r="H152" s="27">
        <f>C152-G152</f>
        <v/>
      </c>
      <c r="I152" s="27">
        <f>C7+(E152/1000)/C8</f>
        <v/>
      </c>
    </row>
    <row r="153" ht="12.95" customHeight="1" s="44">
      <c r="B153" s="25">
        <f>(122/80*(60/C6))</f>
        <v/>
      </c>
      <c r="C153" s="25">
        <f>IF(MOD((122/80*(60/C6)),(60/C6))&lt;(60/C6*C10),C7+(IF(MOD((122/80*(60/C6)),(60/C6))&lt;(60/C6*C10),MIN(C5*MOD((122/80*(60/C6)),(60/C6)),C4),C4*EXP(-(MOD((122/80*(60/C6)),(60/C6))-(60/C6*C10))/(C9*C8))))/C8+C5*C9-F153,C7+(IF(MOD((122/80*(60/C6)),(60/C6))&lt;(60/C6*C10),MIN(C5*MOD((122/80*(60/C6)),(60/C6)),C4),C4*EXP(-(MOD((122/80*(60/C6)),(60/C6))-(60/C6*C10))/(C9*C8))))/C8)</f>
        <v/>
      </c>
      <c r="D153" s="25">
        <f>IF(MOD((122/80*(60/C6)),(60/C6))&lt;(60/C6*C10),C5*60,-(IF(MOD((122/80*(60/C6)),(60/C6))&lt;(60/C6*C10),MIN(C5*MOD((122/80*(60/C6)),(60/C6)),C4),C4*EXP(-(MOD((122/80*(60/C6)),(60/C6))-(60/C6*C10))/(C9*C8))))/(C9*C8)*60)</f>
        <v/>
      </c>
      <c r="E153" s="26">
        <f>(IF(MOD((122/80*(60/C6)),(60/C6))&lt;(60/C6*C10),MIN(C5*MOD((122/80*(60/C6)),(60/C6)),C4),C4*EXP(-(MOD((122/80*(60/C6)),(60/C6))-(60/C6*C10))/(C9*C8))))*1000</f>
        <v/>
      </c>
      <c r="F153" s="25">
        <f>IF(AND(MOD((122/80*(60/C6)),(60/C6))&lt;(60/C6*C10),MOD((122/80*(60/C6)),(60/C6))&lt;C13),-ABS(C12)*SIN(PI()*MOD((122/80*(60/C6)),(60/C6))/C13),0)</f>
        <v/>
      </c>
      <c r="G153" s="25">
        <f>C7*(C11/(C8+C11))+(E153/1000)/C11+F153</f>
        <v/>
      </c>
      <c r="H153" s="25">
        <f>C153-G153</f>
        <v/>
      </c>
      <c r="I153" s="25">
        <f>C7+(E153/1000)/C8</f>
        <v/>
      </c>
    </row>
    <row r="154" ht="12.95" customHeight="1" s="44">
      <c r="B154" s="27">
        <f>(123/80*(60/C6))</f>
        <v/>
      </c>
      <c r="C154" s="27">
        <f>IF(MOD((123/80*(60/C6)),(60/C6))&lt;(60/C6*C10),C7+(IF(MOD((123/80*(60/C6)),(60/C6))&lt;(60/C6*C10),MIN(C5*MOD((123/80*(60/C6)),(60/C6)),C4),C4*EXP(-(MOD((123/80*(60/C6)),(60/C6))-(60/C6*C10))/(C9*C8))))/C8+C5*C9-F154,C7+(IF(MOD((123/80*(60/C6)),(60/C6))&lt;(60/C6*C10),MIN(C5*MOD((123/80*(60/C6)),(60/C6)),C4),C4*EXP(-(MOD((123/80*(60/C6)),(60/C6))-(60/C6*C10))/(C9*C8))))/C8)</f>
        <v/>
      </c>
      <c r="D154" s="27">
        <f>IF(MOD((123/80*(60/C6)),(60/C6))&lt;(60/C6*C10),C5*60,-(IF(MOD((123/80*(60/C6)),(60/C6))&lt;(60/C6*C10),MIN(C5*MOD((123/80*(60/C6)),(60/C6)),C4),C4*EXP(-(MOD((123/80*(60/C6)),(60/C6))-(60/C6*C10))/(C9*C8))))/(C9*C8)*60)</f>
        <v/>
      </c>
      <c r="E154" s="28">
        <f>(IF(MOD((123/80*(60/C6)),(60/C6))&lt;(60/C6*C10),MIN(C5*MOD((123/80*(60/C6)),(60/C6)),C4),C4*EXP(-(MOD((123/80*(60/C6)),(60/C6))-(60/C6*C10))/(C9*C8))))*1000</f>
        <v/>
      </c>
      <c r="F154" s="27">
        <f>IF(AND(MOD((123/80*(60/C6)),(60/C6))&lt;(60/C6*C10),MOD((123/80*(60/C6)),(60/C6))&lt;C13),-ABS(C12)*SIN(PI()*MOD((123/80*(60/C6)),(60/C6))/C13),0)</f>
        <v/>
      </c>
      <c r="G154" s="27">
        <f>C7*(C11/(C8+C11))+(E154/1000)/C11+F154</f>
        <v/>
      </c>
      <c r="H154" s="27">
        <f>C154-G154</f>
        <v/>
      </c>
      <c r="I154" s="27">
        <f>C7+(E154/1000)/C8</f>
        <v/>
      </c>
    </row>
    <row r="155" ht="12.95" customHeight="1" s="44">
      <c r="B155" s="25">
        <f>(124/80*(60/C6))</f>
        <v/>
      </c>
      <c r="C155" s="25">
        <f>IF(MOD((124/80*(60/C6)),(60/C6))&lt;(60/C6*C10),C7+(IF(MOD((124/80*(60/C6)),(60/C6))&lt;(60/C6*C10),MIN(C5*MOD((124/80*(60/C6)),(60/C6)),C4),C4*EXP(-(MOD((124/80*(60/C6)),(60/C6))-(60/C6*C10))/(C9*C8))))/C8+C5*C9-F155,C7+(IF(MOD((124/80*(60/C6)),(60/C6))&lt;(60/C6*C10),MIN(C5*MOD((124/80*(60/C6)),(60/C6)),C4),C4*EXP(-(MOD((124/80*(60/C6)),(60/C6))-(60/C6*C10))/(C9*C8))))/C8)</f>
        <v/>
      </c>
      <c r="D155" s="25">
        <f>IF(MOD((124/80*(60/C6)),(60/C6))&lt;(60/C6*C10),C5*60,-(IF(MOD((124/80*(60/C6)),(60/C6))&lt;(60/C6*C10),MIN(C5*MOD((124/80*(60/C6)),(60/C6)),C4),C4*EXP(-(MOD((124/80*(60/C6)),(60/C6))-(60/C6*C10))/(C9*C8))))/(C9*C8)*60)</f>
        <v/>
      </c>
      <c r="E155" s="26">
        <f>(IF(MOD((124/80*(60/C6)),(60/C6))&lt;(60/C6*C10),MIN(C5*MOD((124/80*(60/C6)),(60/C6)),C4),C4*EXP(-(MOD((124/80*(60/C6)),(60/C6))-(60/C6*C10))/(C9*C8))))*1000</f>
        <v/>
      </c>
      <c r="F155" s="25">
        <f>IF(AND(MOD((124/80*(60/C6)),(60/C6))&lt;(60/C6*C10),MOD((124/80*(60/C6)),(60/C6))&lt;C13),-ABS(C12)*SIN(PI()*MOD((124/80*(60/C6)),(60/C6))/C13),0)</f>
        <v/>
      </c>
      <c r="G155" s="25">
        <f>C7*(C11/(C8+C11))+(E155/1000)/C11+F155</f>
        <v/>
      </c>
      <c r="H155" s="25">
        <f>C155-G155</f>
        <v/>
      </c>
      <c r="I155" s="25">
        <f>C7+(E155/1000)/C8</f>
        <v/>
      </c>
    </row>
    <row r="156" ht="12.95" customHeight="1" s="44">
      <c r="B156" s="27">
        <f>(125/80*(60/C6))</f>
        <v/>
      </c>
      <c r="C156" s="27">
        <f>IF(MOD((125/80*(60/C6)),(60/C6))&lt;(60/C6*C10),C7+(IF(MOD((125/80*(60/C6)),(60/C6))&lt;(60/C6*C10),MIN(C5*MOD((125/80*(60/C6)),(60/C6)),C4),C4*EXP(-(MOD((125/80*(60/C6)),(60/C6))-(60/C6*C10))/(C9*C8))))/C8+C5*C9-F156,C7+(IF(MOD((125/80*(60/C6)),(60/C6))&lt;(60/C6*C10),MIN(C5*MOD((125/80*(60/C6)),(60/C6)),C4),C4*EXP(-(MOD((125/80*(60/C6)),(60/C6))-(60/C6*C10))/(C9*C8))))/C8)</f>
        <v/>
      </c>
      <c r="D156" s="27">
        <f>IF(MOD((125/80*(60/C6)),(60/C6))&lt;(60/C6*C10),C5*60,-(IF(MOD((125/80*(60/C6)),(60/C6))&lt;(60/C6*C10),MIN(C5*MOD((125/80*(60/C6)),(60/C6)),C4),C4*EXP(-(MOD((125/80*(60/C6)),(60/C6))-(60/C6*C10))/(C9*C8))))/(C9*C8)*60)</f>
        <v/>
      </c>
      <c r="E156" s="28">
        <f>(IF(MOD((125/80*(60/C6)),(60/C6))&lt;(60/C6*C10),MIN(C5*MOD((125/80*(60/C6)),(60/C6)),C4),C4*EXP(-(MOD((125/80*(60/C6)),(60/C6))-(60/C6*C10))/(C9*C8))))*1000</f>
        <v/>
      </c>
      <c r="F156" s="27">
        <f>IF(AND(MOD((125/80*(60/C6)),(60/C6))&lt;(60/C6*C10),MOD((125/80*(60/C6)),(60/C6))&lt;C13),-ABS(C12)*SIN(PI()*MOD((125/80*(60/C6)),(60/C6))/C13),0)</f>
        <v/>
      </c>
      <c r="G156" s="27">
        <f>C7*(C11/(C8+C11))+(E156/1000)/C11+F156</f>
        <v/>
      </c>
      <c r="H156" s="27">
        <f>C156-G156</f>
        <v/>
      </c>
      <c r="I156" s="27">
        <f>C7+(E156/1000)/C8</f>
        <v/>
      </c>
    </row>
    <row r="157" ht="12.95" customHeight="1" s="44">
      <c r="B157" s="25">
        <f>(126/80*(60/C6))</f>
        <v/>
      </c>
      <c r="C157" s="25">
        <f>IF(MOD((126/80*(60/C6)),(60/C6))&lt;(60/C6*C10),C7+(IF(MOD((126/80*(60/C6)),(60/C6))&lt;(60/C6*C10),MIN(C5*MOD((126/80*(60/C6)),(60/C6)),C4),C4*EXP(-(MOD((126/80*(60/C6)),(60/C6))-(60/C6*C10))/(C9*C8))))/C8+C5*C9-F157,C7+(IF(MOD((126/80*(60/C6)),(60/C6))&lt;(60/C6*C10),MIN(C5*MOD((126/80*(60/C6)),(60/C6)),C4),C4*EXP(-(MOD((126/80*(60/C6)),(60/C6))-(60/C6*C10))/(C9*C8))))/C8)</f>
        <v/>
      </c>
      <c r="D157" s="25">
        <f>IF(MOD((126/80*(60/C6)),(60/C6))&lt;(60/C6*C10),C5*60,-(IF(MOD((126/80*(60/C6)),(60/C6))&lt;(60/C6*C10),MIN(C5*MOD((126/80*(60/C6)),(60/C6)),C4),C4*EXP(-(MOD((126/80*(60/C6)),(60/C6))-(60/C6*C10))/(C9*C8))))/(C9*C8)*60)</f>
        <v/>
      </c>
      <c r="E157" s="26">
        <f>(IF(MOD((126/80*(60/C6)),(60/C6))&lt;(60/C6*C10),MIN(C5*MOD((126/80*(60/C6)),(60/C6)),C4),C4*EXP(-(MOD((126/80*(60/C6)),(60/C6))-(60/C6*C10))/(C9*C8))))*1000</f>
        <v/>
      </c>
      <c r="F157" s="25">
        <f>IF(AND(MOD((126/80*(60/C6)),(60/C6))&lt;(60/C6*C10),MOD((126/80*(60/C6)),(60/C6))&lt;C13),-ABS(C12)*SIN(PI()*MOD((126/80*(60/C6)),(60/C6))/C13),0)</f>
        <v/>
      </c>
      <c r="G157" s="25">
        <f>C7*(C11/(C8+C11))+(E157/1000)/C11+F157</f>
        <v/>
      </c>
      <c r="H157" s="25">
        <f>C157-G157</f>
        <v/>
      </c>
      <c r="I157" s="25">
        <f>C7+(E157/1000)/C8</f>
        <v/>
      </c>
    </row>
    <row r="158" ht="12.95" customHeight="1" s="44">
      <c r="B158" s="27">
        <f>(127/80*(60/C6))</f>
        <v/>
      </c>
      <c r="C158" s="27">
        <f>IF(MOD((127/80*(60/C6)),(60/C6))&lt;(60/C6*C10),C7+(IF(MOD((127/80*(60/C6)),(60/C6))&lt;(60/C6*C10),MIN(C5*MOD((127/80*(60/C6)),(60/C6)),C4),C4*EXP(-(MOD((127/80*(60/C6)),(60/C6))-(60/C6*C10))/(C9*C8))))/C8+C5*C9-F158,C7+(IF(MOD((127/80*(60/C6)),(60/C6))&lt;(60/C6*C10),MIN(C5*MOD((127/80*(60/C6)),(60/C6)),C4),C4*EXP(-(MOD((127/80*(60/C6)),(60/C6))-(60/C6*C10))/(C9*C8))))/C8)</f>
        <v/>
      </c>
      <c r="D158" s="27">
        <f>IF(MOD((127/80*(60/C6)),(60/C6))&lt;(60/C6*C10),C5*60,-(IF(MOD((127/80*(60/C6)),(60/C6))&lt;(60/C6*C10),MIN(C5*MOD((127/80*(60/C6)),(60/C6)),C4),C4*EXP(-(MOD((127/80*(60/C6)),(60/C6))-(60/C6*C10))/(C9*C8))))/(C9*C8)*60)</f>
        <v/>
      </c>
      <c r="E158" s="28">
        <f>(IF(MOD((127/80*(60/C6)),(60/C6))&lt;(60/C6*C10),MIN(C5*MOD((127/80*(60/C6)),(60/C6)),C4),C4*EXP(-(MOD((127/80*(60/C6)),(60/C6))-(60/C6*C10))/(C9*C8))))*1000</f>
        <v/>
      </c>
      <c r="F158" s="27">
        <f>IF(AND(MOD((127/80*(60/C6)),(60/C6))&lt;(60/C6*C10),MOD((127/80*(60/C6)),(60/C6))&lt;C13),-ABS(C12)*SIN(PI()*MOD((127/80*(60/C6)),(60/C6))/C13),0)</f>
        <v/>
      </c>
      <c r="G158" s="27">
        <f>C7*(C11/(C8+C11))+(E158/1000)/C11+F158</f>
        <v/>
      </c>
      <c r="H158" s="27">
        <f>C158-G158</f>
        <v/>
      </c>
      <c r="I158" s="27">
        <f>C7+(E158/1000)/C8</f>
        <v/>
      </c>
    </row>
    <row r="159" ht="12.95" customHeight="1" s="44">
      <c r="B159" s="25">
        <f>(128/80*(60/C6))</f>
        <v/>
      </c>
      <c r="C159" s="25">
        <f>IF(MOD((128/80*(60/C6)),(60/C6))&lt;(60/C6*C10),C7+(IF(MOD((128/80*(60/C6)),(60/C6))&lt;(60/C6*C10),MIN(C5*MOD((128/80*(60/C6)),(60/C6)),C4),C4*EXP(-(MOD((128/80*(60/C6)),(60/C6))-(60/C6*C10))/(C9*C8))))/C8+C5*C9-F159,C7+(IF(MOD((128/80*(60/C6)),(60/C6))&lt;(60/C6*C10),MIN(C5*MOD((128/80*(60/C6)),(60/C6)),C4),C4*EXP(-(MOD((128/80*(60/C6)),(60/C6))-(60/C6*C10))/(C9*C8))))/C8)</f>
        <v/>
      </c>
      <c r="D159" s="25">
        <f>IF(MOD((128/80*(60/C6)),(60/C6))&lt;(60/C6*C10),C5*60,-(IF(MOD((128/80*(60/C6)),(60/C6))&lt;(60/C6*C10),MIN(C5*MOD((128/80*(60/C6)),(60/C6)),C4),C4*EXP(-(MOD((128/80*(60/C6)),(60/C6))-(60/C6*C10))/(C9*C8))))/(C9*C8)*60)</f>
        <v/>
      </c>
      <c r="E159" s="26">
        <f>(IF(MOD((128/80*(60/C6)),(60/C6))&lt;(60/C6*C10),MIN(C5*MOD((128/80*(60/C6)),(60/C6)),C4),C4*EXP(-(MOD((128/80*(60/C6)),(60/C6))-(60/C6*C10))/(C9*C8))))*1000</f>
        <v/>
      </c>
      <c r="F159" s="25">
        <f>IF(AND(MOD((128/80*(60/C6)),(60/C6))&lt;(60/C6*C10),MOD((128/80*(60/C6)),(60/C6))&lt;C13),-ABS(C12)*SIN(PI()*MOD((128/80*(60/C6)),(60/C6))/C13),0)</f>
        <v/>
      </c>
      <c r="G159" s="25">
        <f>C7*(C11/(C8+C11))+(E159/1000)/C11+F159</f>
        <v/>
      </c>
      <c r="H159" s="25">
        <f>C159-G159</f>
        <v/>
      </c>
      <c r="I159" s="25">
        <f>C7+(E159/1000)/C8</f>
        <v/>
      </c>
    </row>
    <row r="160" ht="12.95" customHeight="1" s="44">
      <c r="B160" s="27">
        <f>(129/80*(60/C6))</f>
        <v/>
      </c>
      <c r="C160" s="27">
        <f>IF(MOD((129/80*(60/C6)),(60/C6))&lt;(60/C6*C10),C7+(IF(MOD((129/80*(60/C6)),(60/C6))&lt;(60/C6*C10),MIN(C5*MOD((129/80*(60/C6)),(60/C6)),C4),C4*EXP(-(MOD((129/80*(60/C6)),(60/C6))-(60/C6*C10))/(C9*C8))))/C8+C5*C9-F160,C7+(IF(MOD((129/80*(60/C6)),(60/C6))&lt;(60/C6*C10),MIN(C5*MOD((129/80*(60/C6)),(60/C6)),C4),C4*EXP(-(MOD((129/80*(60/C6)),(60/C6))-(60/C6*C10))/(C9*C8))))/C8)</f>
        <v/>
      </c>
      <c r="D160" s="27">
        <f>IF(MOD((129/80*(60/C6)),(60/C6))&lt;(60/C6*C10),C5*60,-(IF(MOD((129/80*(60/C6)),(60/C6))&lt;(60/C6*C10),MIN(C5*MOD((129/80*(60/C6)),(60/C6)),C4),C4*EXP(-(MOD((129/80*(60/C6)),(60/C6))-(60/C6*C10))/(C9*C8))))/(C9*C8)*60)</f>
        <v/>
      </c>
      <c r="E160" s="28">
        <f>(IF(MOD((129/80*(60/C6)),(60/C6))&lt;(60/C6*C10),MIN(C5*MOD((129/80*(60/C6)),(60/C6)),C4),C4*EXP(-(MOD((129/80*(60/C6)),(60/C6))-(60/C6*C10))/(C9*C8))))*1000</f>
        <v/>
      </c>
      <c r="F160" s="27">
        <f>IF(AND(MOD((129/80*(60/C6)),(60/C6))&lt;(60/C6*C10),MOD((129/80*(60/C6)),(60/C6))&lt;C13),-ABS(C12)*SIN(PI()*MOD((129/80*(60/C6)),(60/C6))/C13),0)</f>
        <v/>
      </c>
      <c r="G160" s="27">
        <f>C7*(C11/(C8+C11))+(E160/1000)/C11+F160</f>
        <v/>
      </c>
      <c r="H160" s="27">
        <f>C160-G160</f>
        <v/>
      </c>
      <c r="I160" s="27">
        <f>C7+(E160/1000)/C8</f>
        <v/>
      </c>
    </row>
    <row r="161" ht="12.95" customHeight="1" s="44">
      <c r="B161" s="25">
        <f>(130/80*(60/C6))</f>
        <v/>
      </c>
      <c r="C161" s="25">
        <f>IF(MOD((130/80*(60/C6)),(60/C6))&lt;(60/C6*C10),C7+(IF(MOD((130/80*(60/C6)),(60/C6))&lt;(60/C6*C10),MIN(C5*MOD((130/80*(60/C6)),(60/C6)),C4),C4*EXP(-(MOD((130/80*(60/C6)),(60/C6))-(60/C6*C10))/(C9*C8))))/C8+C5*C9-F161,C7+(IF(MOD((130/80*(60/C6)),(60/C6))&lt;(60/C6*C10),MIN(C5*MOD((130/80*(60/C6)),(60/C6)),C4),C4*EXP(-(MOD((130/80*(60/C6)),(60/C6))-(60/C6*C10))/(C9*C8))))/C8)</f>
        <v/>
      </c>
      <c r="D161" s="25">
        <f>IF(MOD((130/80*(60/C6)),(60/C6))&lt;(60/C6*C10),C5*60,-(IF(MOD((130/80*(60/C6)),(60/C6))&lt;(60/C6*C10),MIN(C5*MOD((130/80*(60/C6)),(60/C6)),C4),C4*EXP(-(MOD((130/80*(60/C6)),(60/C6))-(60/C6*C10))/(C9*C8))))/(C9*C8)*60)</f>
        <v/>
      </c>
      <c r="E161" s="26">
        <f>(IF(MOD((130/80*(60/C6)),(60/C6))&lt;(60/C6*C10),MIN(C5*MOD((130/80*(60/C6)),(60/C6)),C4),C4*EXP(-(MOD((130/80*(60/C6)),(60/C6))-(60/C6*C10))/(C9*C8))))*1000</f>
        <v/>
      </c>
      <c r="F161" s="25">
        <f>IF(AND(MOD((130/80*(60/C6)),(60/C6))&lt;(60/C6*C10),MOD((130/80*(60/C6)),(60/C6))&lt;C13),-ABS(C12)*SIN(PI()*MOD((130/80*(60/C6)),(60/C6))/C13),0)</f>
        <v/>
      </c>
      <c r="G161" s="25">
        <f>C7*(C11/(C8+C11))+(E161/1000)/C11+F161</f>
        <v/>
      </c>
      <c r="H161" s="25">
        <f>C161-G161</f>
        <v/>
      </c>
      <c r="I161" s="25">
        <f>C7+(E161/1000)/C8</f>
        <v/>
      </c>
    </row>
    <row r="162" ht="12.95" customHeight="1" s="44">
      <c r="B162" s="27">
        <f>(131/80*(60/C6))</f>
        <v/>
      </c>
      <c r="C162" s="27">
        <f>IF(MOD((131/80*(60/C6)),(60/C6))&lt;(60/C6*C10),C7+(IF(MOD((131/80*(60/C6)),(60/C6))&lt;(60/C6*C10),MIN(C5*MOD((131/80*(60/C6)),(60/C6)),C4),C4*EXP(-(MOD((131/80*(60/C6)),(60/C6))-(60/C6*C10))/(C9*C8))))/C8+C5*C9-F162,C7+(IF(MOD((131/80*(60/C6)),(60/C6))&lt;(60/C6*C10),MIN(C5*MOD((131/80*(60/C6)),(60/C6)),C4),C4*EXP(-(MOD((131/80*(60/C6)),(60/C6))-(60/C6*C10))/(C9*C8))))/C8)</f>
        <v/>
      </c>
      <c r="D162" s="27">
        <f>IF(MOD((131/80*(60/C6)),(60/C6))&lt;(60/C6*C10),C5*60,-(IF(MOD((131/80*(60/C6)),(60/C6))&lt;(60/C6*C10),MIN(C5*MOD((131/80*(60/C6)),(60/C6)),C4),C4*EXP(-(MOD((131/80*(60/C6)),(60/C6))-(60/C6*C10))/(C9*C8))))/(C9*C8)*60)</f>
        <v/>
      </c>
      <c r="E162" s="28">
        <f>(IF(MOD((131/80*(60/C6)),(60/C6))&lt;(60/C6*C10),MIN(C5*MOD((131/80*(60/C6)),(60/C6)),C4),C4*EXP(-(MOD((131/80*(60/C6)),(60/C6))-(60/C6*C10))/(C9*C8))))*1000</f>
        <v/>
      </c>
      <c r="F162" s="27">
        <f>IF(AND(MOD((131/80*(60/C6)),(60/C6))&lt;(60/C6*C10),MOD((131/80*(60/C6)),(60/C6))&lt;C13),-ABS(C12)*SIN(PI()*MOD((131/80*(60/C6)),(60/C6))/C13),0)</f>
        <v/>
      </c>
      <c r="G162" s="27">
        <f>C7*(C11/(C8+C11))+(E162/1000)/C11+F162</f>
        <v/>
      </c>
      <c r="H162" s="27">
        <f>C162-G162</f>
        <v/>
      </c>
      <c r="I162" s="27">
        <f>C7+(E162/1000)/C8</f>
        <v/>
      </c>
    </row>
    <row r="163" ht="12.95" customHeight="1" s="44">
      <c r="B163" s="25">
        <f>(132/80*(60/C6))</f>
        <v/>
      </c>
      <c r="C163" s="25">
        <f>IF(MOD((132/80*(60/C6)),(60/C6))&lt;(60/C6*C10),C7+(IF(MOD((132/80*(60/C6)),(60/C6))&lt;(60/C6*C10),MIN(C5*MOD((132/80*(60/C6)),(60/C6)),C4),C4*EXP(-(MOD((132/80*(60/C6)),(60/C6))-(60/C6*C10))/(C9*C8))))/C8+C5*C9-F163,C7+(IF(MOD((132/80*(60/C6)),(60/C6))&lt;(60/C6*C10),MIN(C5*MOD((132/80*(60/C6)),(60/C6)),C4),C4*EXP(-(MOD((132/80*(60/C6)),(60/C6))-(60/C6*C10))/(C9*C8))))/C8)</f>
        <v/>
      </c>
      <c r="D163" s="25">
        <f>IF(MOD((132/80*(60/C6)),(60/C6))&lt;(60/C6*C10),C5*60,-(IF(MOD((132/80*(60/C6)),(60/C6))&lt;(60/C6*C10),MIN(C5*MOD((132/80*(60/C6)),(60/C6)),C4),C4*EXP(-(MOD((132/80*(60/C6)),(60/C6))-(60/C6*C10))/(C9*C8))))/(C9*C8)*60)</f>
        <v/>
      </c>
      <c r="E163" s="26">
        <f>(IF(MOD((132/80*(60/C6)),(60/C6))&lt;(60/C6*C10),MIN(C5*MOD((132/80*(60/C6)),(60/C6)),C4),C4*EXP(-(MOD((132/80*(60/C6)),(60/C6))-(60/C6*C10))/(C9*C8))))*1000</f>
        <v/>
      </c>
      <c r="F163" s="25">
        <f>IF(AND(MOD((132/80*(60/C6)),(60/C6))&lt;(60/C6*C10),MOD((132/80*(60/C6)),(60/C6))&lt;C13),-ABS(C12)*SIN(PI()*MOD((132/80*(60/C6)),(60/C6))/C13),0)</f>
        <v/>
      </c>
      <c r="G163" s="25">
        <f>C7*(C11/(C8+C11))+(E163/1000)/C11+F163</f>
        <v/>
      </c>
      <c r="H163" s="25">
        <f>C163-G163</f>
        <v/>
      </c>
      <c r="I163" s="25">
        <f>C7+(E163/1000)/C8</f>
        <v/>
      </c>
    </row>
    <row r="164" ht="12.95" customHeight="1" s="44">
      <c r="B164" s="27">
        <f>(133/80*(60/C6))</f>
        <v/>
      </c>
      <c r="C164" s="27">
        <f>IF(MOD((133/80*(60/C6)),(60/C6))&lt;(60/C6*C10),C7+(IF(MOD((133/80*(60/C6)),(60/C6))&lt;(60/C6*C10),MIN(C5*MOD((133/80*(60/C6)),(60/C6)),C4),C4*EXP(-(MOD((133/80*(60/C6)),(60/C6))-(60/C6*C10))/(C9*C8))))/C8+C5*C9-F164,C7+(IF(MOD((133/80*(60/C6)),(60/C6))&lt;(60/C6*C10),MIN(C5*MOD((133/80*(60/C6)),(60/C6)),C4),C4*EXP(-(MOD((133/80*(60/C6)),(60/C6))-(60/C6*C10))/(C9*C8))))/C8)</f>
        <v/>
      </c>
      <c r="D164" s="27">
        <f>IF(MOD((133/80*(60/C6)),(60/C6))&lt;(60/C6*C10),C5*60,-(IF(MOD((133/80*(60/C6)),(60/C6))&lt;(60/C6*C10),MIN(C5*MOD((133/80*(60/C6)),(60/C6)),C4),C4*EXP(-(MOD((133/80*(60/C6)),(60/C6))-(60/C6*C10))/(C9*C8))))/(C9*C8)*60)</f>
        <v/>
      </c>
      <c r="E164" s="28">
        <f>(IF(MOD((133/80*(60/C6)),(60/C6))&lt;(60/C6*C10),MIN(C5*MOD((133/80*(60/C6)),(60/C6)),C4),C4*EXP(-(MOD((133/80*(60/C6)),(60/C6))-(60/C6*C10))/(C9*C8))))*1000</f>
        <v/>
      </c>
      <c r="F164" s="27">
        <f>IF(AND(MOD((133/80*(60/C6)),(60/C6))&lt;(60/C6*C10),MOD((133/80*(60/C6)),(60/C6))&lt;C13),-ABS(C12)*SIN(PI()*MOD((133/80*(60/C6)),(60/C6))/C13),0)</f>
        <v/>
      </c>
      <c r="G164" s="27">
        <f>C7*(C11/(C8+C11))+(E164/1000)/C11+F164</f>
        <v/>
      </c>
      <c r="H164" s="27">
        <f>C164-G164</f>
        <v/>
      </c>
      <c r="I164" s="27">
        <f>C7+(E164/1000)/C8</f>
        <v/>
      </c>
    </row>
    <row r="165" ht="12.95" customHeight="1" s="44">
      <c r="B165" s="25">
        <f>(134/80*(60/C6))</f>
        <v/>
      </c>
      <c r="C165" s="25">
        <f>IF(MOD((134/80*(60/C6)),(60/C6))&lt;(60/C6*C10),C7+(IF(MOD((134/80*(60/C6)),(60/C6))&lt;(60/C6*C10),MIN(C5*MOD((134/80*(60/C6)),(60/C6)),C4),C4*EXP(-(MOD((134/80*(60/C6)),(60/C6))-(60/C6*C10))/(C9*C8))))/C8+C5*C9-F165,C7+(IF(MOD((134/80*(60/C6)),(60/C6))&lt;(60/C6*C10),MIN(C5*MOD((134/80*(60/C6)),(60/C6)),C4),C4*EXP(-(MOD((134/80*(60/C6)),(60/C6))-(60/C6*C10))/(C9*C8))))/C8)</f>
        <v/>
      </c>
      <c r="D165" s="25">
        <f>IF(MOD((134/80*(60/C6)),(60/C6))&lt;(60/C6*C10),C5*60,-(IF(MOD((134/80*(60/C6)),(60/C6))&lt;(60/C6*C10),MIN(C5*MOD((134/80*(60/C6)),(60/C6)),C4),C4*EXP(-(MOD((134/80*(60/C6)),(60/C6))-(60/C6*C10))/(C9*C8))))/(C9*C8)*60)</f>
        <v/>
      </c>
      <c r="E165" s="26">
        <f>(IF(MOD((134/80*(60/C6)),(60/C6))&lt;(60/C6*C10),MIN(C5*MOD((134/80*(60/C6)),(60/C6)),C4),C4*EXP(-(MOD((134/80*(60/C6)),(60/C6))-(60/C6*C10))/(C9*C8))))*1000</f>
        <v/>
      </c>
      <c r="F165" s="25">
        <f>IF(AND(MOD((134/80*(60/C6)),(60/C6))&lt;(60/C6*C10),MOD((134/80*(60/C6)),(60/C6))&lt;C13),-ABS(C12)*SIN(PI()*MOD((134/80*(60/C6)),(60/C6))/C13),0)</f>
        <v/>
      </c>
      <c r="G165" s="25">
        <f>C7*(C11/(C8+C11))+(E165/1000)/C11+F165</f>
        <v/>
      </c>
      <c r="H165" s="25">
        <f>C165-G165</f>
        <v/>
      </c>
      <c r="I165" s="25">
        <f>C7+(E165/1000)/C8</f>
        <v/>
      </c>
    </row>
    <row r="166" ht="12.95" customHeight="1" s="44">
      <c r="B166" s="27">
        <f>(135/80*(60/C6))</f>
        <v/>
      </c>
      <c r="C166" s="27">
        <f>IF(MOD((135/80*(60/C6)),(60/C6))&lt;(60/C6*C10),C7+(IF(MOD((135/80*(60/C6)),(60/C6))&lt;(60/C6*C10),MIN(C5*MOD((135/80*(60/C6)),(60/C6)),C4),C4*EXP(-(MOD((135/80*(60/C6)),(60/C6))-(60/C6*C10))/(C9*C8))))/C8+C5*C9-F166,C7+(IF(MOD((135/80*(60/C6)),(60/C6))&lt;(60/C6*C10),MIN(C5*MOD((135/80*(60/C6)),(60/C6)),C4),C4*EXP(-(MOD((135/80*(60/C6)),(60/C6))-(60/C6*C10))/(C9*C8))))/C8)</f>
        <v/>
      </c>
      <c r="D166" s="27">
        <f>IF(MOD((135/80*(60/C6)),(60/C6))&lt;(60/C6*C10),C5*60,-(IF(MOD((135/80*(60/C6)),(60/C6))&lt;(60/C6*C10),MIN(C5*MOD((135/80*(60/C6)),(60/C6)),C4),C4*EXP(-(MOD((135/80*(60/C6)),(60/C6))-(60/C6*C10))/(C9*C8))))/(C9*C8)*60)</f>
        <v/>
      </c>
      <c r="E166" s="28">
        <f>(IF(MOD((135/80*(60/C6)),(60/C6))&lt;(60/C6*C10),MIN(C5*MOD((135/80*(60/C6)),(60/C6)),C4),C4*EXP(-(MOD((135/80*(60/C6)),(60/C6))-(60/C6*C10))/(C9*C8))))*1000</f>
        <v/>
      </c>
      <c r="F166" s="27">
        <f>IF(AND(MOD((135/80*(60/C6)),(60/C6))&lt;(60/C6*C10),MOD((135/80*(60/C6)),(60/C6))&lt;C13),-ABS(C12)*SIN(PI()*MOD((135/80*(60/C6)),(60/C6))/C13),0)</f>
        <v/>
      </c>
      <c r="G166" s="27">
        <f>C7*(C11/(C8+C11))+(E166/1000)/C11+F166</f>
        <v/>
      </c>
      <c r="H166" s="27">
        <f>C166-G166</f>
        <v/>
      </c>
      <c r="I166" s="27">
        <f>C7+(E166/1000)/C8</f>
        <v/>
      </c>
    </row>
    <row r="167" ht="12.95" customHeight="1" s="44">
      <c r="B167" s="25">
        <f>(136/80*(60/C6))</f>
        <v/>
      </c>
      <c r="C167" s="25">
        <f>IF(MOD((136/80*(60/C6)),(60/C6))&lt;(60/C6*C10),C7+(IF(MOD((136/80*(60/C6)),(60/C6))&lt;(60/C6*C10),MIN(C5*MOD((136/80*(60/C6)),(60/C6)),C4),C4*EXP(-(MOD((136/80*(60/C6)),(60/C6))-(60/C6*C10))/(C9*C8))))/C8+C5*C9-F167,C7+(IF(MOD((136/80*(60/C6)),(60/C6))&lt;(60/C6*C10),MIN(C5*MOD((136/80*(60/C6)),(60/C6)),C4),C4*EXP(-(MOD((136/80*(60/C6)),(60/C6))-(60/C6*C10))/(C9*C8))))/C8)</f>
        <v/>
      </c>
      <c r="D167" s="25">
        <f>IF(MOD((136/80*(60/C6)),(60/C6))&lt;(60/C6*C10),C5*60,-(IF(MOD((136/80*(60/C6)),(60/C6))&lt;(60/C6*C10),MIN(C5*MOD((136/80*(60/C6)),(60/C6)),C4),C4*EXP(-(MOD((136/80*(60/C6)),(60/C6))-(60/C6*C10))/(C9*C8))))/(C9*C8)*60)</f>
        <v/>
      </c>
      <c r="E167" s="26">
        <f>(IF(MOD((136/80*(60/C6)),(60/C6))&lt;(60/C6*C10),MIN(C5*MOD((136/80*(60/C6)),(60/C6)),C4),C4*EXP(-(MOD((136/80*(60/C6)),(60/C6))-(60/C6*C10))/(C9*C8))))*1000</f>
        <v/>
      </c>
      <c r="F167" s="25">
        <f>IF(AND(MOD((136/80*(60/C6)),(60/C6))&lt;(60/C6*C10),MOD((136/80*(60/C6)),(60/C6))&lt;C13),-ABS(C12)*SIN(PI()*MOD((136/80*(60/C6)),(60/C6))/C13),0)</f>
        <v/>
      </c>
      <c r="G167" s="25">
        <f>C7*(C11/(C8+C11))+(E167/1000)/C11+F167</f>
        <v/>
      </c>
      <c r="H167" s="25">
        <f>C167-G167</f>
        <v/>
      </c>
      <c r="I167" s="25">
        <f>C7+(E167/1000)/C8</f>
        <v/>
      </c>
    </row>
    <row r="168" ht="12.95" customHeight="1" s="44">
      <c r="B168" s="27">
        <f>(137/80*(60/C6))</f>
        <v/>
      </c>
      <c r="C168" s="27">
        <f>IF(MOD((137/80*(60/C6)),(60/C6))&lt;(60/C6*C10),C7+(IF(MOD((137/80*(60/C6)),(60/C6))&lt;(60/C6*C10),MIN(C5*MOD((137/80*(60/C6)),(60/C6)),C4),C4*EXP(-(MOD((137/80*(60/C6)),(60/C6))-(60/C6*C10))/(C9*C8))))/C8+C5*C9-F168,C7+(IF(MOD((137/80*(60/C6)),(60/C6))&lt;(60/C6*C10),MIN(C5*MOD((137/80*(60/C6)),(60/C6)),C4),C4*EXP(-(MOD((137/80*(60/C6)),(60/C6))-(60/C6*C10))/(C9*C8))))/C8)</f>
        <v/>
      </c>
      <c r="D168" s="27">
        <f>IF(MOD((137/80*(60/C6)),(60/C6))&lt;(60/C6*C10),C5*60,-(IF(MOD((137/80*(60/C6)),(60/C6))&lt;(60/C6*C10),MIN(C5*MOD((137/80*(60/C6)),(60/C6)),C4),C4*EXP(-(MOD((137/80*(60/C6)),(60/C6))-(60/C6*C10))/(C9*C8))))/(C9*C8)*60)</f>
        <v/>
      </c>
      <c r="E168" s="28">
        <f>(IF(MOD((137/80*(60/C6)),(60/C6))&lt;(60/C6*C10),MIN(C5*MOD((137/80*(60/C6)),(60/C6)),C4),C4*EXP(-(MOD((137/80*(60/C6)),(60/C6))-(60/C6*C10))/(C9*C8))))*1000</f>
        <v/>
      </c>
      <c r="F168" s="27">
        <f>IF(AND(MOD((137/80*(60/C6)),(60/C6))&lt;(60/C6*C10),MOD((137/80*(60/C6)),(60/C6))&lt;C13),-ABS(C12)*SIN(PI()*MOD((137/80*(60/C6)),(60/C6))/C13),0)</f>
        <v/>
      </c>
      <c r="G168" s="27">
        <f>C7*(C11/(C8+C11))+(E168/1000)/C11+F168</f>
        <v/>
      </c>
      <c r="H168" s="27">
        <f>C168-G168</f>
        <v/>
      </c>
      <c r="I168" s="27">
        <f>C7+(E168/1000)/C8</f>
        <v/>
      </c>
    </row>
    <row r="169" ht="12.95" customHeight="1" s="44">
      <c r="B169" s="25">
        <f>(138/80*(60/C6))</f>
        <v/>
      </c>
      <c r="C169" s="25">
        <f>IF(MOD((138/80*(60/C6)),(60/C6))&lt;(60/C6*C10),C7+(IF(MOD((138/80*(60/C6)),(60/C6))&lt;(60/C6*C10),MIN(C5*MOD((138/80*(60/C6)),(60/C6)),C4),C4*EXP(-(MOD((138/80*(60/C6)),(60/C6))-(60/C6*C10))/(C9*C8))))/C8+C5*C9-F169,C7+(IF(MOD((138/80*(60/C6)),(60/C6))&lt;(60/C6*C10),MIN(C5*MOD((138/80*(60/C6)),(60/C6)),C4),C4*EXP(-(MOD((138/80*(60/C6)),(60/C6))-(60/C6*C10))/(C9*C8))))/C8)</f>
        <v/>
      </c>
      <c r="D169" s="25">
        <f>IF(MOD((138/80*(60/C6)),(60/C6))&lt;(60/C6*C10),C5*60,-(IF(MOD((138/80*(60/C6)),(60/C6))&lt;(60/C6*C10),MIN(C5*MOD((138/80*(60/C6)),(60/C6)),C4),C4*EXP(-(MOD((138/80*(60/C6)),(60/C6))-(60/C6*C10))/(C9*C8))))/(C9*C8)*60)</f>
        <v/>
      </c>
      <c r="E169" s="26">
        <f>(IF(MOD((138/80*(60/C6)),(60/C6))&lt;(60/C6*C10),MIN(C5*MOD((138/80*(60/C6)),(60/C6)),C4),C4*EXP(-(MOD((138/80*(60/C6)),(60/C6))-(60/C6*C10))/(C9*C8))))*1000</f>
        <v/>
      </c>
      <c r="F169" s="25">
        <f>IF(AND(MOD((138/80*(60/C6)),(60/C6))&lt;(60/C6*C10),MOD((138/80*(60/C6)),(60/C6))&lt;C13),-ABS(C12)*SIN(PI()*MOD((138/80*(60/C6)),(60/C6))/C13),0)</f>
        <v/>
      </c>
      <c r="G169" s="25">
        <f>C7*(C11/(C8+C11))+(E169/1000)/C11+F169</f>
        <v/>
      </c>
      <c r="H169" s="25">
        <f>C169-G169</f>
        <v/>
      </c>
      <c r="I169" s="25">
        <f>C7+(E169/1000)/C8</f>
        <v/>
      </c>
    </row>
    <row r="170" ht="12.95" customHeight="1" s="44">
      <c r="B170" s="27">
        <f>(139/80*(60/C6))</f>
        <v/>
      </c>
      <c r="C170" s="27">
        <f>IF(MOD((139/80*(60/C6)),(60/C6))&lt;(60/C6*C10),C7+(IF(MOD((139/80*(60/C6)),(60/C6))&lt;(60/C6*C10),MIN(C5*MOD((139/80*(60/C6)),(60/C6)),C4),C4*EXP(-(MOD((139/80*(60/C6)),(60/C6))-(60/C6*C10))/(C9*C8))))/C8+C5*C9-F170,C7+(IF(MOD((139/80*(60/C6)),(60/C6))&lt;(60/C6*C10),MIN(C5*MOD((139/80*(60/C6)),(60/C6)),C4),C4*EXP(-(MOD((139/80*(60/C6)),(60/C6))-(60/C6*C10))/(C9*C8))))/C8)</f>
        <v/>
      </c>
      <c r="D170" s="27">
        <f>IF(MOD((139/80*(60/C6)),(60/C6))&lt;(60/C6*C10),C5*60,-(IF(MOD((139/80*(60/C6)),(60/C6))&lt;(60/C6*C10),MIN(C5*MOD((139/80*(60/C6)),(60/C6)),C4),C4*EXP(-(MOD((139/80*(60/C6)),(60/C6))-(60/C6*C10))/(C9*C8))))/(C9*C8)*60)</f>
        <v/>
      </c>
      <c r="E170" s="28">
        <f>(IF(MOD((139/80*(60/C6)),(60/C6))&lt;(60/C6*C10),MIN(C5*MOD((139/80*(60/C6)),(60/C6)),C4),C4*EXP(-(MOD((139/80*(60/C6)),(60/C6))-(60/C6*C10))/(C9*C8))))*1000</f>
        <v/>
      </c>
      <c r="F170" s="27">
        <f>IF(AND(MOD((139/80*(60/C6)),(60/C6))&lt;(60/C6*C10),MOD((139/80*(60/C6)),(60/C6))&lt;C13),-ABS(C12)*SIN(PI()*MOD((139/80*(60/C6)),(60/C6))/C13),0)</f>
        <v/>
      </c>
      <c r="G170" s="27">
        <f>C7*(C11/(C8+C11))+(E170/1000)/C11+F170</f>
        <v/>
      </c>
      <c r="H170" s="27">
        <f>C170-G170</f>
        <v/>
      </c>
      <c r="I170" s="27">
        <f>C7+(E170/1000)/C8</f>
        <v/>
      </c>
    </row>
    <row r="171" ht="12.95" customHeight="1" s="44">
      <c r="B171" s="25">
        <f>(140/80*(60/C6))</f>
        <v/>
      </c>
      <c r="C171" s="25">
        <f>IF(MOD((140/80*(60/C6)),(60/C6))&lt;(60/C6*C10),C7+(IF(MOD((140/80*(60/C6)),(60/C6))&lt;(60/C6*C10),MIN(C5*MOD((140/80*(60/C6)),(60/C6)),C4),C4*EXP(-(MOD((140/80*(60/C6)),(60/C6))-(60/C6*C10))/(C9*C8))))/C8+C5*C9-F171,C7+(IF(MOD((140/80*(60/C6)),(60/C6))&lt;(60/C6*C10),MIN(C5*MOD((140/80*(60/C6)),(60/C6)),C4),C4*EXP(-(MOD((140/80*(60/C6)),(60/C6))-(60/C6*C10))/(C9*C8))))/C8)</f>
        <v/>
      </c>
      <c r="D171" s="25">
        <f>IF(MOD((140/80*(60/C6)),(60/C6))&lt;(60/C6*C10),C5*60,-(IF(MOD((140/80*(60/C6)),(60/C6))&lt;(60/C6*C10),MIN(C5*MOD((140/80*(60/C6)),(60/C6)),C4),C4*EXP(-(MOD((140/80*(60/C6)),(60/C6))-(60/C6*C10))/(C9*C8))))/(C9*C8)*60)</f>
        <v/>
      </c>
      <c r="E171" s="26">
        <f>(IF(MOD((140/80*(60/C6)),(60/C6))&lt;(60/C6*C10),MIN(C5*MOD((140/80*(60/C6)),(60/C6)),C4),C4*EXP(-(MOD((140/80*(60/C6)),(60/C6))-(60/C6*C10))/(C9*C8))))*1000</f>
        <v/>
      </c>
      <c r="F171" s="25">
        <f>IF(AND(MOD((140/80*(60/C6)),(60/C6))&lt;(60/C6*C10),MOD((140/80*(60/C6)),(60/C6))&lt;C13),-ABS(C12)*SIN(PI()*MOD((140/80*(60/C6)),(60/C6))/C13),0)</f>
        <v/>
      </c>
      <c r="G171" s="25">
        <f>C7*(C11/(C8+C11))+(E171/1000)/C11+F171</f>
        <v/>
      </c>
      <c r="H171" s="25">
        <f>C171-G171</f>
        <v/>
      </c>
      <c r="I171" s="25">
        <f>C7+(E171/1000)/C8</f>
        <v/>
      </c>
    </row>
    <row r="172" ht="12.95" customHeight="1" s="44">
      <c r="B172" s="27">
        <f>(141/80*(60/C6))</f>
        <v/>
      </c>
      <c r="C172" s="27">
        <f>IF(MOD((141/80*(60/C6)),(60/C6))&lt;(60/C6*C10),C7+(IF(MOD((141/80*(60/C6)),(60/C6))&lt;(60/C6*C10),MIN(C5*MOD((141/80*(60/C6)),(60/C6)),C4),C4*EXP(-(MOD((141/80*(60/C6)),(60/C6))-(60/C6*C10))/(C9*C8))))/C8+C5*C9-F172,C7+(IF(MOD((141/80*(60/C6)),(60/C6))&lt;(60/C6*C10),MIN(C5*MOD((141/80*(60/C6)),(60/C6)),C4),C4*EXP(-(MOD((141/80*(60/C6)),(60/C6))-(60/C6*C10))/(C9*C8))))/C8)</f>
        <v/>
      </c>
      <c r="D172" s="27">
        <f>IF(MOD((141/80*(60/C6)),(60/C6))&lt;(60/C6*C10),C5*60,-(IF(MOD((141/80*(60/C6)),(60/C6))&lt;(60/C6*C10),MIN(C5*MOD((141/80*(60/C6)),(60/C6)),C4),C4*EXP(-(MOD((141/80*(60/C6)),(60/C6))-(60/C6*C10))/(C9*C8))))/(C9*C8)*60)</f>
        <v/>
      </c>
      <c r="E172" s="28">
        <f>(IF(MOD((141/80*(60/C6)),(60/C6))&lt;(60/C6*C10),MIN(C5*MOD((141/80*(60/C6)),(60/C6)),C4),C4*EXP(-(MOD((141/80*(60/C6)),(60/C6))-(60/C6*C10))/(C9*C8))))*1000</f>
        <v/>
      </c>
      <c r="F172" s="27">
        <f>IF(AND(MOD((141/80*(60/C6)),(60/C6))&lt;(60/C6*C10),MOD((141/80*(60/C6)),(60/C6))&lt;C13),-ABS(C12)*SIN(PI()*MOD((141/80*(60/C6)),(60/C6))/C13),0)</f>
        <v/>
      </c>
      <c r="G172" s="27">
        <f>C7*(C11/(C8+C11))+(E172/1000)/C11+F172</f>
        <v/>
      </c>
      <c r="H172" s="27">
        <f>C172-G172</f>
        <v/>
      </c>
      <c r="I172" s="27">
        <f>C7+(E172/1000)/C8</f>
        <v/>
      </c>
    </row>
    <row r="173" ht="12.95" customHeight="1" s="44">
      <c r="B173" s="25">
        <f>(142/80*(60/C6))</f>
        <v/>
      </c>
      <c r="C173" s="25">
        <f>IF(MOD((142/80*(60/C6)),(60/C6))&lt;(60/C6*C10),C7+(IF(MOD((142/80*(60/C6)),(60/C6))&lt;(60/C6*C10),MIN(C5*MOD((142/80*(60/C6)),(60/C6)),C4),C4*EXP(-(MOD((142/80*(60/C6)),(60/C6))-(60/C6*C10))/(C9*C8))))/C8+C5*C9-F173,C7+(IF(MOD((142/80*(60/C6)),(60/C6))&lt;(60/C6*C10),MIN(C5*MOD((142/80*(60/C6)),(60/C6)),C4),C4*EXP(-(MOD((142/80*(60/C6)),(60/C6))-(60/C6*C10))/(C9*C8))))/C8)</f>
        <v/>
      </c>
      <c r="D173" s="25">
        <f>IF(MOD((142/80*(60/C6)),(60/C6))&lt;(60/C6*C10),C5*60,-(IF(MOD((142/80*(60/C6)),(60/C6))&lt;(60/C6*C10),MIN(C5*MOD((142/80*(60/C6)),(60/C6)),C4),C4*EXP(-(MOD((142/80*(60/C6)),(60/C6))-(60/C6*C10))/(C9*C8))))/(C9*C8)*60)</f>
        <v/>
      </c>
      <c r="E173" s="26">
        <f>(IF(MOD((142/80*(60/C6)),(60/C6))&lt;(60/C6*C10),MIN(C5*MOD((142/80*(60/C6)),(60/C6)),C4),C4*EXP(-(MOD((142/80*(60/C6)),(60/C6))-(60/C6*C10))/(C9*C8))))*1000</f>
        <v/>
      </c>
      <c r="F173" s="25">
        <f>IF(AND(MOD((142/80*(60/C6)),(60/C6))&lt;(60/C6*C10),MOD((142/80*(60/C6)),(60/C6))&lt;C13),-ABS(C12)*SIN(PI()*MOD((142/80*(60/C6)),(60/C6))/C13),0)</f>
        <v/>
      </c>
      <c r="G173" s="25">
        <f>C7*(C11/(C8+C11))+(E173/1000)/C11+F173</f>
        <v/>
      </c>
      <c r="H173" s="25">
        <f>C173-G173</f>
        <v/>
      </c>
      <c r="I173" s="25">
        <f>C7+(E173/1000)/C8</f>
        <v/>
      </c>
    </row>
    <row r="174" ht="12.95" customHeight="1" s="44">
      <c r="B174" s="27">
        <f>(143/80*(60/C6))</f>
        <v/>
      </c>
      <c r="C174" s="27">
        <f>IF(MOD((143/80*(60/C6)),(60/C6))&lt;(60/C6*C10),C7+(IF(MOD((143/80*(60/C6)),(60/C6))&lt;(60/C6*C10),MIN(C5*MOD((143/80*(60/C6)),(60/C6)),C4),C4*EXP(-(MOD((143/80*(60/C6)),(60/C6))-(60/C6*C10))/(C9*C8))))/C8+C5*C9-F174,C7+(IF(MOD((143/80*(60/C6)),(60/C6))&lt;(60/C6*C10),MIN(C5*MOD((143/80*(60/C6)),(60/C6)),C4),C4*EXP(-(MOD((143/80*(60/C6)),(60/C6))-(60/C6*C10))/(C9*C8))))/C8)</f>
        <v/>
      </c>
      <c r="D174" s="27">
        <f>IF(MOD((143/80*(60/C6)),(60/C6))&lt;(60/C6*C10),C5*60,-(IF(MOD((143/80*(60/C6)),(60/C6))&lt;(60/C6*C10),MIN(C5*MOD((143/80*(60/C6)),(60/C6)),C4),C4*EXP(-(MOD((143/80*(60/C6)),(60/C6))-(60/C6*C10))/(C9*C8))))/(C9*C8)*60)</f>
        <v/>
      </c>
      <c r="E174" s="28">
        <f>(IF(MOD((143/80*(60/C6)),(60/C6))&lt;(60/C6*C10),MIN(C5*MOD((143/80*(60/C6)),(60/C6)),C4),C4*EXP(-(MOD((143/80*(60/C6)),(60/C6))-(60/C6*C10))/(C9*C8))))*1000</f>
        <v/>
      </c>
      <c r="F174" s="27">
        <f>IF(AND(MOD((143/80*(60/C6)),(60/C6))&lt;(60/C6*C10),MOD((143/80*(60/C6)),(60/C6))&lt;C13),-ABS(C12)*SIN(PI()*MOD((143/80*(60/C6)),(60/C6))/C13),0)</f>
        <v/>
      </c>
      <c r="G174" s="27">
        <f>C7*(C11/(C8+C11))+(E174/1000)/C11+F174</f>
        <v/>
      </c>
      <c r="H174" s="27">
        <f>C174-G174</f>
        <v/>
      </c>
      <c r="I174" s="27">
        <f>C7+(E174/1000)/C8</f>
        <v/>
      </c>
    </row>
    <row r="175" ht="12.95" customHeight="1" s="44">
      <c r="B175" s="25">
        <f>(144/80*(60/C6))</f>
        <v/>
      </c>
      <c r="C175" s="25">
        <f>IF(MOD((144/80*(60/C6)),(60/C6))&lt;(60/C6*C10),C7+(IF(MOD((144/80*(60/C6)),(60/C6))&lt;(60/C6*C10),MIN(C5*MOD((144/80*(60/C6)),(60/C6)),C4),C4*EXP(-(MOD((144/80*(60/C6)),(60/C6))-(60/C6*C10))/(C9*C8))))/C8+C5*C9-F175,C7+(IF(MOD((144/80*(60/C6)),(60/C6))&lt;(60/C6*C10),MIN(C5*MOD((144/80*(60/C6)),(60/C6)),C4),C4*EXP(-(MOD((144/80*(60/C6)),(60/C6))-(60/C6*C10))/(C9*C8))))/C8)</f>
        <v/>
      </c>
      <c r="D175" s="25">
        <f>IF(MOD((144/80*(60/C6)),(60/C6))&lt;(60/C6*C10),C5*60,-(IF(MOD((144/80*(60/C6)),(60/C6))&lt;(60/C6*C10),MIN(C5*MOD((144/80*(60/C6)),(60/C6)),C4),C4*EXP(-(MOD((144/80*(60/C6)),(60/C6))-(60/C6*C10))/(C9*C8))))/(C9*C8)*60)</f>
        <v/>
      </c>
      <c r="E175" s="26">
        <f>(IF(MOD((144/80*(60/C6)),(60/C6))&lt;(60/C6*C10),MIN(C5*MOD((144/80*(60/C6)),(60/C6)),C4),C4*EXP(-(MOD((144/80*(60/C6)),(60/C6))-(60/C6*C10))/(C9*C8))))*1000</f>
        <v/>
      </c>
      <c r="F175" s="25">
        <f>IF(AND(MOD((144/80*(60/C6)),(60/C6))&lt;(60/C6*C10),MOD((144/80*(60/C6)),(60/C6))&lt;C13),-ABS(C12)*SIN(PI()*MOD((144/80*(60/C6)),(60/C6))/C13),0)</f>
        <v/>
      </c>
      <c r="G175" s="25">
        <f>C7*(C11/(C8+C11))+(E175/1000)/C11+F175</f>
        <v/>
      </c>
      <c r="H175" s="25">
        <f>C175-G175</f>
        <v/>
      </c>
      <c r="I175" s="25">
        <f>C7+(E175/1000)/C8</f>
        <v/>
      </c>
    </row>
    <row r="176" ht="12.95" customHeight="1" s="44">
      <c r="B176" s="27">
        <f>(145/80*(60/C6))</f>
        <v/>
      </c>
      <c r="C176" s="27">
        <f>IF(MOD((145/80*(60/C6)),(60/C6))&lt;(60/C6*C10),C7+(IF(MOD((145/80*(60/C6)),(60/C6))&lt;(60/C6*C10),MIN(C5*MOD((145/80*(60/C6)),(60/C6)),C4),C4*EXP(-(MOD((145/80*(60/C6)),(60/C6))-(60/C6*C10))/(C9*C8))))/C8+C5*C9-F176,C7+(IF(MOD((145/80*(60/C6)),(60/C6))&lt;(60/C6*C10),MIN(C5*MOD((145/80*(60/C6)),(60/C6)),C4),C4*EXP(-(MOD((145/80*(60/C6)),(60/C6))-(60/C6*C10))/(C9*C8))))/C8)</f>
        <v/>
      </c>
      <c r="D176" s="27">
        <f>IF(MOD((145/80*(60/C6)),(60/C6))&lt;(60/C6*C10),C5*60,-(IF(MOD((145/80*(60/C6)),(60/C6))&lt;(60/C6*C10),MIN(C5*MOD((145/80*(60/C6)),(60/C6)),C4),C4*EXP(-(MOD((145/80*(60/C6)),(60/C6))-(60/C6*C10))/(C9*C8))))/(C9*C8)*60)</f>
        <v/>
      </c>
      <c r="E176" s="28">
        <f>(IF(MOD((145/80*(60/C6)),(60/C6))&lt;(60/C6*C10),MIN(C5*MOD((145/80*(60/C6)),(60/C6)),C4),C4*EXP(-(MOD((145/80*(60/C6)),(60/C6))-(60/C6*C10))/(C9*C8))))*1000</f>
        <v/>
      </c>
      <c r="F176" s="27">
        <f>IF(AND(MOD((145/80*(60/C6)),(60/C6))&lt;(60/C6*C10),MOD((145/80*(60/C6)),(60/C6))&lt;C13),-ABS(C12)*SIN(PI()*MOD((145/80*(60/C6)),(60/C6))/C13),0)</f>
        <v/>
      </c>
      <c r="G176" s="27">
        <f>C7*(C11/(C8+C11))+(E176/1000)/C11+F176</f>
        <v/>
      </c>
      <c r="H176" s="27">
        <f>C176-G176</f>
        <v/>
      </c>
      <c r="I176" s="27">
        <f>C7+(E176/1000)/C8</f>
        <v/>
      </c>
    </row>
    <row r="177" ht="12.95" customHeight="1" s="44">
      <c r="B177" s="25">
        <f>(146/80*(60/C6))</f>
        <v/>
      </c>
      <c r="C177" s="25">
        <f>IF(MOD((146/80*(60/C6)),(60/C6))&lt;(60/C6*C10),C7+(IF(MOD((146/80*(60/C6)),(60/C6))&lt;(60/C6*C10),MIN(C5*MOD((146/80*(60/C6)),(60/C6)),C4),C4*EXP(-(MOD((146/80*(60/C6)),(60/C6))-(60/C6*C10))/(C9*C8))))/C8+C5*C9-F177,C7+(IF(MOD((146/80*(60/C6)),(60/C6))&lt;(60/C6*C10),MIN(C5*MOD((146/80*(60/C6)),(60/C6)),C4),C4*EXP(-(MOD((146/80*(60/C6)),(60/C6))-(60/C6*C10))/(C9*C8))))/C8)</f>
        <v/>
      </c>
      <c r="D177" s="25">
        <f>IF(MOD((146/80*(60/C6)),(60/C6))&lt;(60/C6*C10),C5*60,-(IF(MOD((146/80*(60/C6)),(60/C6))&lt;(60/C6*C10),MIN(C5*MOD((146/80*(60/C6)),(60/C6)),C4),C4*EXP(-(MOD((146/80*(60/C6)),(60/C6))-(60/C6*C10))/(C9*C8))))/(C9*C8)*60)</f>
        <v/>
      </c>
      <c r="E177" s="26">
        <f>(IF(MOD((146/80*(60/C6)),(60/C6))&lt;(60/C6*C10),MIN(C5*MOD((146/80*(60/C6)),(60/C6)),C4),C4*EXP(-(MOD((146/80*(60/C6)),(60/C6))-(60/C6*C10))/(C9*C8))))*1000</f>
        <v/>
      </c>
      <c r="F177" s="25">
        <f>IF(AND(MOD((146/80*(60/C6)),(60/C6))&lt;(60/C6*C10),MOD((146/80*(60/C6)),(60/C6))&lt;C13),-ABS(C12)*SIN(PI()*MOD((146/80*(60/C6)),(60/C6))/C13),0)</f>
        <v/>
      </c>
      <c r="G177" s="25">
        <f>C7*(C11/(C8+C11))+(E177/1000)/C11+F177</f>
        <v/>
      </c>
      <c r="H177" s="25">
        <f>C177-G177</f>
        <v/>
      </c>
      <c r="I177" s="25">
        <f>C7+(E177/1000)/C8</f>
        <v/>
      </c>
    </row>
    <row r="178" ht="12.95" customHeight="1" s="44">
      <c r="B178" s="27">
        <f>(147/80*(60/C6))</f>
        <v/>
      </c>
      <c r="C178" s="27">
        <f>IF(MOD((147/80*(60/C6)),(60/C6))&lt;(60/C6*C10),C7+(IF(MOD((147/80*(60/C6)),(60/C6))&lt;(60/C6*C10),MIN(C5*MOD((147/80*(60/C6)),(60/C6)),C4),C4*EXP(-(MOD((147/80*(60/C6)),(60/C6))-(60/C6*C10))/(C9*C8))))/C8+C5*C9-F178,C7+(IF(MOD((147/80*(60/C6)),(60/C6))&lt;(60/C6*C10),MIN(C5*MOD((147/80*(60/C6)),(60/C6)),C4),C4*EXP(-(MOD((147/80*(60/C6)),(60/C6))-(60/C6*C10))/(C9*C8))))/C8)</f>
        <v/>
      </c>
      <c r="D178" s="27">
        <f>IF(MOD((147/80*(60/C6)),(60/C6))&lt;(60/C6*C10),C5*60,-(IF(MOD((147/80*(60/C6)),(60/C6))&lt;(60/C6*C10),MIN(C5*MOD((147/80*(60/C6)),(60/C6)),C4),C4*EXP(-(MOD((147/80*(60/C6)),(60/C6))-(60/C6*C10))/(C9*C8))))/(C9*C8)*60)</f>
        <v/>
      </c>
      <c r="E178" s="28">
        <f>(IF(MOD((147/80*(60/C6)),(60/C6))&lt;(60/C6*C10),MIN(C5*MOD((147/80*(60/C6)),(60/C6)),C4),C4*EXP(-(MOD((147/80*(60/C6)),(60/C6))-(60/C6*C10))/(C9*C8))))*1000</f>
        <v/>
      </c>
      <c r="F178" s="27">
        <f>IF(AND(MOD((147/80*(60/C6)),(60/C6))&lt;(60/C6*C10),MOD((147/80*(60/C6)),(60/C6))&lt;C13),-ABS(C12)*SIN(PI()*MOD((147/80*(60/C6)),(60/C6))/C13),0)</f>
        <v/>
      </c>
      <c r="G178" s="27">
        <f>C7*(C11/(C8+C11))+(E178/1000)/C11+F178</f>
        <v/>
      </c>
      <c r="H178" s="27">
        <f>C178-G178</f>
        <v/>
      </c>
      <c r="I178" s="27">
        <f>C7+(E178/1000)/C8</f>
        <v/>
      </c>
    </row>
    <row r="179" ht="12.95" customHeight="1" s="44">
      <c r="B179" s="25">
        <f>(148/80*(60/C6))</f>
        <v/>
      </c>
      <c r="C179" s="25">
        <f>IF(MOD((148/80*(60/C6)),(60/C6))&lt;(60/C6*C10),C7+(IF(MOD((148/80*(60/C6)),(60/C6))&lt;(60/C6*C10),MIN(C5*MOD((148/80*(60/C6)),(60/C6)),C4),C4*EXP(-(MOD((148/80*(60/C6)),(60/C6))-(60/C6*C10))/(C9*C8))))/C8+C5*C9-F179,C7+(IF(MOD((148/80*(60/C6)),(60/C6))&lt;(60/C6*C10),MIN(C5*MOD((148/80*(60/C6)),(60/C6)),C4),C4*EXP(-(MOD((148/80*(60/C6)),(60/C6))-(60/C6*C10))/(C9*C8))))/C8)</f>
        <v/>
      </c>
      <c r="D179" s="25">
        <f>IF(MOD((148/80*(60/C6)),(60/C6))&lt;(60/C6*C10),C5*60,-(IF(MOD((148/80*(60/C6)),(60/C6))&lt;(60/C6*C10),MIN(C5*MOD((148/80*(60/C6)),(60/C6)),C4),C4*EXP(-(MOD((148/80*(60/C6)),(60/C6))-(60/C6*C10))/(C9*C8))))/(C9*C8)*60)</f>
        <v/>
      </c>
      <c r="E179" s="26">
        <f>(IF(MOD((148/80*(60/C6)),(60/C6))&lt;(60/C6*C10),MIN(C5*MOD((148/80*(60/C6)),(60/C6)),C4),C4*EXP(-(MOD((148/80*(60/C6)),(60/C6))-(60/C6*C10))/(C9*C8))))*1000</f>
        <v/>
      </c>
      <c r="F179" s="25">
        <f>IF(AND(MOD((148/80*(60/C6)),(60/C6))&lt;(60/C6*C10),MOD((148/80*(60/C6)),(60/C6))&lt;C13),-ABS(C12)*SIN(PI()*MOD((148/80*(60/C6)),(60/C6))/C13),0)</f>
        <v/>
      </c>
      <c r="G179" s="25">
        <f>C7*(C11/(C8+C11))+(E179/1000)/C11+F179</f>
        <v/>
      </c>
      <c r="H179" s="25">
        <f>C179-G179</f>
        <v/>
      </c>
      <c r="I179" s="25">
        <f>C7+(E179/1000)/C8</f>
        <v/>
      </c>
    </row>
    <row r="180" ht="12.95" customHeight="1" s="44">
      <c r="B180" s="27">
        <f>(149/80*(60/C6))</f>
        <v/>
      </c>
      <c r="C180" s="27">
        <f>IF(MOD((149/80*(60/C6)),(60/C6))&lt;(60/C6*C10),C7+(IF(MOD((149/80*(60/C6)),(60/C6))&lt;(60/C6*C10),MIN(C5*MOD((149/80*(60/C6)),(60/C6)),C4),C4*EXP(-(MOD((149/80*(60/C6)),(60/C6))-(60/C6*C10))/(C9*C8))))/C8+C5*C9-F180,C7+(IF(MOD((149/80*(60/C6)),(60/C6))&lt;(60/C6*C10),MIN(C5*MOD((149/80*(60/C6)),(60/C6)),C4),C4*EXP(-(MOD((149/80*(60/C6)),(60/C6))-(60/C6*C10))/(C9*C8))))/C8)</f>
        <v/>
      </c>
      <c r="D180" s="27">
        <f>IF(MOD((149/80*(60/C6)),(60/C6))&lt;(60/C6*C10),C5*60,-(IF(MOD((149/80*(60/C6)),(60/C6))&lt;(60/C6*C10),MIN(C5*MOD((149/80*(60/C6)),(60/C6)),C4),C4*EXP(-(MOD((149/80*(60/C6)),(60/C6))-(60/C6*C10))/(C9*C8))))/(C9*C8)*60)</f>
        <v/>
      </c>
      <c r="E180" s="28">
        <f>(IF(MOD((149/80*(60/C6)),(60/C6))&lt;(60/C6*C10),MIN(C5*MOD((149/80*(60/C6)),(60/C6)),C4),C4*EXP(-(MOD((149/80*(60/C6)),(60/C6))-(60/C6*C10))/(C9*C8))))*1000</f>
        <v/>
      </c>
      <c r="F180" s="27">
        <f>IF(AND(MOD((149/80*(60/C6)),(60/C6))&lt;(60/C6*C10),MOD((149/80*(60/C6)),(60/C6))&lt;C13),-ABS(C12)*SIN(PI()*MOD((149/80*(60/C6)),(60/C6))/C13),0)</f>
        <v/>
      </c>
      <c r="G180" s="27">
        <f>C7*(C11/(C8+C11))+(E180/1000)/C11+F180</f>
        <v/>
      </c>
      <c r="H180" s="27">
        <f>C180-G180</f>
        <v/>
      </c>
      <c r="I180" s="27">
        <f>C7+(E180/1000)/C8</f>
        <v/>
      </c>
    </row>
    <row r="181" ht="12.95" customHeight="1" s="44">
      <c r="B181" s="25">
        <f>(150/80*(60/C6))</f>
        <v/>
      </c>
      <c r="C181" s="25">
        <f>IF(MOD((150/80*(60/C6)),(60/C6))&lt;(60/C6*C10),C7+(IF(MOD((150/80*(60/C6)),(60/C6))&lt;(60/C6*C10),MIN(C5*MOD((150/80*(60/C6)),(60/C6)),C4),C4*EXP(-(MOD((150/80*(60/C6)),(60/C6))-(60/C6*C10))/(C9*C8))))/C8+C5*C9-F181,C7+(IF(MOD((150/80*(60/C6)),(60/C6))&lt;(60/C6*C10),MIN(C5*MOD((150/80*(60/C6)),(60/C6)),C4),C4*EXP(-(MOD((150/80*(60/C6)),(60/C6))-(60/C6*C10))/(C9*C8))))/C8)</f>
        <v/>
      </c>
      <c r="D181" s="25">
        <f>IF(MOD((150/80*(60/C6)),(60/C6))&lt;(60/C6*C10),C5*60,-(IF(MOD((150/80*(60/C6)),(60/C6))&lt;(60/C6*C10),MIN(C5*MOD((150/80*(60/C6)),(60/C6)),C4),C4*EXP(-(MOD((150/80*(60/C6)),(60/C6))-(60/C6*C10))/(C9*C8))))/(C9*C8)*60)</f>
        <v/>
      </c>
      <c r="E181" s="26">
        <f>(IF(MOD((150/80*(60/C6)),(60/C6))&lt;(60/C6*C10),MIN(C5*MOD((150/80*(60/C6)),(60/C6)),C4),C4*EXP(-(MOD((150/80*(60/C6)),(60/C6))-(60/C6*C10))/(C9*C8))))*1000</f>
        <v/>
      </c>
      <c r="F181" s="25">
        <f>IF(AND(MOD((150/80*(60/C6)),(60/C6))&lt;(60/C6*C10),MOD((150/80*(60/C6)),(60/C6))&lt;C13),-ABS(C12)*SIN(PI()*MOD((150/80*(60/C6)),(60/C6))/C13),0)</f>
        <v/>
      </c>
      <c r="G181" s="25">
        <f>C7*(C11/(C8+C11))+(E181/1000)/C11+F181</f>
        <v/>
      </c>
      <c r="H181" s="25">
        <f>C181-G181</f>
        <v/>
      </c>
      <c r="I181" s="25">
        <f>C7+(E181/1000)/C8</f>
        <v/>
      </c>
    </row>
    <row r="182" ht="12.95" customHeight="1" s="44">
      <c r="B182" s="27">
        <f>(151/80*(60/C6))</f>
        <v/>
      </c>
      <c r="C182" s="27">
        <f>IF(MOD((151/80*(60/C6)),(60/C6))&lt;(60/C6*C10),C7+(IF(MOD((151/80*(60/C6)),(60/C6))&lt;(60/C6*C10),MIN(C5*MOD((151/80*(60/C6)),(60/C6)),C4),C4*EXP(-(MOD((151/80*(60/C6)),(60/C6))-(60/C6*C10))/(C9*C8))))/C8+C5*C9-F182,C7+(IF(MOD((151/80*(60/C6)),(60/C6))&lt;(60/C6*C10),MIN(C5*MOD((151/80*(60/C6)),(60/C6)),C4),C4*EXP(-(MOD((151/80*(60/C6)),(60/C6))-(60/C6*C10))/(C9*C8))))/C8)</f>
        <v/>
      </c>
      <c r="D182" s="27">
        <f>IF(MOD((151/80*(60/C6)),(60/C6))&lt;(60/C6*C10),C5*60,-(IF(MOD((151/80*(60/C6)),(60/C6))&lt;(60/C6*C10),MIN(C5*MOD((151/80*(60/C6)),(60/C6)),C4),C4*EXP(-(MOD((151/80*(60/C6)),(60/C6))-(60/C6*C10))/(C9*C8))))/(C9*C8)*60)</f>
        <v/>
      </c>
      <c r="E182" s="28">
        <f>(IF(MOD((151/80*(60/C6)),(60/C6))&lt;(60/C6*C10),MIN(C5*MOD((151/80*(60/C6)),(60/C6)),C4),C4*EXP(-(MOD((151/80*(60/C6)),(60/C6))-(60/C6*C10))/(C9*C8))))*1000</f>
        <v/>
      </c>
      <c r="F182" s="27">
        <f>IF(AND(MOD((151/80*(60/C6)),(60/C6))&lt;(60/C6*C10),MOD((151/80*(60/C6)),(60/C6))&lt;C13),-ABS(C12)*SIN(PI()*MOD((151/80*(60/C6)),(60/C6))/C13),0)</f>
        <v/>
      </c>
      <c r="G182" s="27">
        <f>C7*(C11/(C8+C11))+(E182/1000)/C11+F182</f>
        <v/>
      </c>
      <c r="H182" s="27">
        <f>C182-G182</f>
        <v/>
      </c>
      <c r="I182" s="27">
        <f>C7+(E182/1000)/C8</f>
        <v/>
      </c>
    </row>
    <row r="183" ht="12.95" customHeight="1" s="44">
      <c r="B183" s="25">
        <f>(152/80*(60/C6))</f>
        <v/>
      </c>
      <c r="C183" s="25">
        <f>IF(MOD((152/80*(60/C6)),(60/C6))&lt;(60/C6*C10),C7+(IF(MOD((152/80*(60/C6)),(60/C6))&lt;(60/C6*C10),MIN(C5*MOD((152/80*(60/C6)),(60/C6)),C4),C4*EXP(-(MOD((152/80*(60/C6)),(60/C6))-(60/C6*C10))/(C9*C8))))/C8+C5*C9-F183,C7+(IF(MOD((152/80*(60/C6)),(60/C6))&lt;(60/C6*C10),MIN(C5*MOD((152/80*(60/C6)),(60/C6)),C4),C4*EXP(-(MOD((152/80*(60/C6)),(60/C6))-(60/C6*C10))/(C9*C8))))/C8)</f>
        <v/>
      </c>
      <c r="D183" s="25">
        <f>IF(MOD((152/80*(60/C6)),(60/C6))&lt;(60/C6*C10),C5*60,-(IF(MOD((152/80*(60/C6)),(60/C6))&lt;(60/C6*C10),MIN(C5*MOD((152/80*(60/C6)),(60/C6)),C4),C4*EXP(-(MOD((152/80*(60/C6)),(60/C6))-(60/C6*C10))/(C9*C8))))/(C9*C8)*60)</f>
        <v/>
      </c>
      <c r="E183" s="26">
        <f>(IF(MOD((152/80*(60/C6)),(60/C6))&lt;(60/C6*C10),MIN(C5*MOD((152/80*(60/C6)),(60/C6)),C4),C4*EXP(-(MOD((152/80*(60/C6)),(60/C6))-(60/C6*C10))/(C9*C8))))*1000</f>
        <v/>
      </c>
      <c r="F183" s="25">
        <f>IF(AND(MOD((152/80*(60/C6)),(60/C6))&lt;(60/C6*C10),MOD((152/80*(60/C6)),(60/C6))&lt;C13),-ABS(C12)*SIN(PI()*MOD((152/80*(60/C6)),(60/C6))/C13),0)</f>
        <v/>
      </c>
      <c r="G183" s="25">
        <f>C7*(C11/(C8+C11))+(E183/1000)/C11+F183</f>
        <v/>
      </c>
      <c r="H183" s="25">
        <f>C183-G183</f>
        <v/>
      </c>
      <c r="I183" s="25">
        <f>C7+(E183/1000)/C8</f>
        <v/>
      </c>
    </row>
    <row r="184" ht="12.95" customHeight="1" s="44">
      <c r="B184" s="27">
        <f>(153/80*(60/C6))</f>
        <v/>
      </c>
      <c r="C184" s="27">
        <f>IF(MOD((153/80*(60/C6)),(60/C6))&lt;(60/C6*C10),C7+(IF(MOD((153/80*(60/C6)),(60/C6))&lt;(60/C6*C10),MIN(C5*MOD((153/80*(60/C6)),(60/C6)),C4),C4*EXP(-(MOD((153/80*(60/C6)),(60/C6))-(60/C6*C10))/(C9*C8))))/C8+C5*C9-F184,C7+(IF(MOD((153/80*(60/C6)),(60/C6))&lt;(60/C6*C10),MIN(C5*MOD((153/80*(60/C6)),(60/C6)),C4),C4*EXP(-(MOD((153/80*(60/C6)),(60/C6))-(60/C6*C10))/(C9*C8))))/C8)</f>
        <v/>
      </c>
      <c r="D184" s="27">
        <f>IF(MOD((153/80*(60/C6)),(60/C6))&lt;(60/C6*C10),C5*60,-(IF(MOD((153/80*(60/C6)),(60/C6))&lt;(60/C6*C10),MIN(C5*MOD((153/80*(60/C6)),(60/C6)),C4),C4*EXP(-(MOD((153/80*(60/C6)),(60/C6))-(60/C6*C10))/(C9*C8))))/(C9*C8)*60)</f>
        <v/>
      </c>
      <c r="E184" s="28">
        <f>(IF(MOD((153/80*(60/C6)),(60/C6))&lt;(60/C6*C10),MIN(C5*MOD((153/80*(60/C6)),(60/C6)),C4),C4*EXP(-(MOD((153/80*(60/C6)),(60/C6))-(60/C6*C10))/(C9*C8))))*1000</f>
        <v/>
      </c>
      <c r="F184" s="27">
        <f>IF(AND(MOD((153/80*(60/C6)),(60/C6))&lt;(60/C6*C10),MOD((153/80*(60/C6)),(60/C6))&lt;C13),-ABS(C12)*SIN(PI()*MOD((153/80*(60/C6)),(60/C6))/C13),0)</f>
        <v/>
      </c>
      <c r="G184" s="27">
        <f>C7*(C11/(C8+C11))+(E184/1000)/C11+F184</f>
        <v/>
      </c>
      <c r="H184" s="27">
        <f>C184-G184</f>
        <v/>
      </c>
      <c r="I184" s="27">
        <f>C7+(E184/1000)/C8</f>
        <v/>
      </c>
    </row>
    <row r="185" ht="12.95" customHeight="1" s="44">
      <c r="B185" s="25">
        <f>(154/80*(60/C6))</f>
        <v/>
      </c>
      <c r="C185" s="25">
        <f>IF(MOD((154/80*(60/C6)),(60/C6))&lt;(60/C6*C10),C7+(IF(MOD((154/80*(60/C6)),(60/C6))&lt;(60/C6*C10),MIN(C5*MOD((154/80*(60/C6)),(60/C6)),C4),C4*EXP(-(MOD((154/80*(60/C6)),(60/C6))-(60/C6*C10))/(C9*C8))))/C8+C5*C9-F185,C7+(IF(MOD((154/80*(60/C6)),(60/C6))&lt;(60/C6*C10),MIN(C5*MOD((154/80*(60/C6)),(60/C6)),C4),C4*EXP(-(MOD((154/80*(60/C6)),(60/C6))-(60/C6*C10))/(C9*C8))))/C8)</f>
        <v/>
      </c>
      <c r="D185" s="25">
        <f>IF(MOD((154/80*(60/C6)),(60/C6))&lt;(60/C6*C10),C5*60,-(IF(MOD((154/80*(60/C6)),(60/C6))&lt;(60/C6*C10),MIN(C5*MOD((154/80*(60/C6)),(60/C6)),C4),C4*EXP(-(MOD((154/80*(60/C6)),(60/C6))-(60/C6*C10))/(C9*C8))))/(C9*C8)*60)</f>
        <v/>
      </c>
      <c r="E185" s="26">
        <f>(IF(MOD((154/80*(60/C6)),(60/C6))&lt;(60/C6*C10),MIN(C5*MOD((154/80*(60/C6)),(60/C6)),C4),C4*EXP(-(MOD((154/80*(60/C6)),(60/C6))-(60/C6*C10))/(C9*C8))))*1000</f>
        <v/>
      </c>
      <c r="F185" s="25">
        <f>IF(AND(MOD((154/80*(60/C6)),(60/C6))&lt;(60/C6*C10),MOD((154/80*(60/C6)),(60/C6))&lt;C13),-ABS(C12)*SIN(PI()*MOD((154/80*(60/C6)),(60/C6))/C13),0)</f>
        <v/>
      </c>
      <c r="G185" s="25">
        <f>C7*(C11/(C8+C11))+(E185/1000)/C11+F185</f>
        <v/>
      </c>
      <c r="H185" s="25">
        <f>C185-G185</f>
        <v/>
      </c>
      <c r="I185" s="25">
        <f>C7+(E185/1000)/C8</f>
        <v/>
      </c>
    </row>
    <row r="186" ht="12.95" customHeight="1" s="44">
      <c r="B186" s="27">
        <f>(155/80*(60/C6))</f>
        <v/>
      </c>
      <c r="C186" s="27">
        <f>IF(MOD((155/80*(60/C6)),(60/C6))&lt;(60/C6*C10),C7+(IF(MOD((155/80*(60/C6)),(60/C6))&lt;(60/C6*C10),MIN(C5*MOD((155/80*(60/C6)),(60/C6)),C4),C4*EXP(-(MOD((155/80*(60/C6)),(60/C6))-(60/C6*C10))/(C9*C8))))/C8+C5*C9-F186,C7+(IF(MOD((155/80*(60/C6)),(60/C6))&lt;(60/C6*C10),MIN(C5*MOD((155/80*(60/C6)),(60/C6)),C4),C4*EXP(-(MOD((155/80*(60/C6)),(60/C6))-(60/C6*C10))/(C9*C8))))/C8)</f>
        <v/>
      </c>
      <c r="D186" s="27">
        <f>IF(MOD((155/80*(60/C6)),(60/C6))&lt;(60/C6*C10),C5*60,-(IF(MOD((155/80*(60/C6)),(60/C6))&lt;(60/C6*C10),MIN(C5*MOD((155/80*(60/C6)),(60/C6)),C4),C4*EXP(-(MOD((155/80*(60/C6)),(60/C6))-(60/C6*C10))/(C9*C8))))/(C9*C8)*60)</f>
        <v/>
      </c>
      <c r="E186" s="28">
        <f>(IF(MOD((155/80*(60/C6)),(60/C6))&lt;(60/C6*C10),MIN(C5*MOD((155/80*(60/C6)),(60/C6)),C4),C4*EXP(-(MOD((155/80*(60/C6)),(60/C6))-(60/C6*C10))/(C9*C8))))*1000</f>
        <v/>
      </c>
      <c r="F186" s="27">
        <f>IF(AND(MOD((155/80*(60/C6)),(60/C6))&lt;(60/C6*C10),MOD((155/80*(60/C6)),(60/C6))&lt;C13),-ABS(C12)*SIN(PI()*MOD((155/80*(60/C6)),(60/C6))/C13),0)</f>
        <v/>
      </c>
      <c r="G186" s="27">
        <f>C7*(C11/(C8+C11))+(E186/1000)/C11+F186</f>
        <v/>
      </c>
      <c r="H186" s="27">
        <f>C186-G186</f>
        <v/>
      </c>
      <c r="I186" s="27">
        <f>C7+(E186/1000)/C8</f>
        <v/>
      </c>
    </row>
    <row r="187" ht="12.95" customHeight="1" s="44">
      <c r="B187" s="25">
        <f>(156/80*(60/C6))</f>
        <v/>
      </c>
      <c r="C187" s="25">
        <f>IF(MOD((156/80*(60/C6)),(60/C6))&lt;(60/C6*C10),C7+(IF(MOD((156/80*(60/C6)),(60/C6))&lt;(60/C6*C10),MIN(C5*MOD((156/80*(60/C6)),(60/C6)),C4),C4*EXP(-(MOD((156/80*(60/C6)),(60/C6))-(60/C6*C10))/(C9*C8))))/C8+C5*C9-F187,C7+(IF(MOD((156/80*(60/C6)),(60/C6))&lt;(60/C6*C10),MIN(C5*MOD((156/80*(60/C6)),(60/C6)),C4),C4*EXP(-(MOD((156/80*(60/C6)),(60/C6))-(60/C6*C10))/(C9*C8))))/C8)</f>
        <v/>
      </c>
      <c r="D187" s="25">
        <f>IF(MOD((156/80*(60/C6)),(60/C6))&lt;(60/C6*C10),C5*60,-(IF(MOD((156/80*(60/C6)),(60/C6))&lt;(60/C6*C10),MIN(C5*MOD((156/80*(60/C6)),(60/C6)),C4),C4*EXP(-(MOD((156/80*(60/C6)),(60/C6))-(60/C6*C10))/(C9*C8))))/(C9*C8)*60)</f>
        <v/>
      </c>
      <c r="E187" s="26">
        <f>(IF(MOD((156/80*(60/C6)),(60/C6))&lt;(60/C6*C10),MIN(C5*MOD((156/80*(60/C6)),(60/C6)),C4),C4*EXP(-(MOD((156/80*(60/C6)),(60/C6))-(60/C6*C10))/(C9*C8))))*1000</f>
        <v/>
      </c>
      <c r="F187" s="25">
        <f>IF(AND(MOD((156/80*(60/C6)),(60/C6))&lt;(60/C6*C10),MOD((156/80*(60/C6)),(60/C6))&lt;C13),-ABS(C12)*SIN(PI()*MOD((156/80*(60/C6)),(60/C6))/C13),0)</f>
        <v/>
      </c>
      <c r="G187" s="25">
        <f>C7*(C11/(C8+C11))+(E187/1000)/C11+F187</f>
        <v/>
      </c>
      <c r="H187" s="25">
        <f>C187-G187</f>
        <v/>
      </c>
      <c r="I187" s="25">
        <f>C7+(E187/1000)/C8</f>
        <v/>
      </c>
    </row>
    <row r="188" ht="12.95" customHeight="1" s="44">
      <c r="B188" s="27">
        <f>(157/80*(60/C6))</f>
        <v/>
      </c>
      <c r="C188" s="27">
        <f>IF(MOD((157/80*(60/C6)),(60/C6))&lt;(60/C6*C10),C7+(IF(MOD((157/80*(60/C6)),(60/C6))&lt;(60/C6*C10),MIN(C5*MOD((157/80*(60/C6)),(60/C6)),C4),C4*EXP(-(MOD((157/80*(60/C6)),(60/C6))-(60/C6*C10))/(C9*C8))))/C8+C5*C9-F188,C7+(IF(MOD((157/80*(60/C6)),(60/C6))&lt;(60/C6*C10),MIN(C5*MOD((157/80*(60/C6)),(60/C6)),C4),C4*EXP(-(MOD((157/80*(60/C6)),(60/C6))-(60/C6*C10))/(C9*C8))))/C8)</f>
        <v/>
      </c>
      <c r="D188" s="27">
        <f>IF(MOD((157/80*(60/C6)),(60/C6))&lt;(60/C6*C10),C5*60,-(IF(MOD((157/80*(60/C6)),(60/C6))&lt;(60/C6*C10),MIN(C5*MOD((157/80*(60/C6)),(60/C6)),C4),C4*EXP(-(MOD((157/80*(60/C6)),(60/C6))-(60/C6*C10))/(C9*C8))))/(C9*C8)*60)</f>
        <v/>
      </c>
      <c r="E188" s="28">
        <f>(IF(MOD((157/80*(60/C6)),(60/C6))&lt;(60/C6*C10),MIN(C5*MOD((157/80*(60/C6)),(60/C6)),C4),C4*EXP(-(MOD((157/80*(60/C6)),(60/C6))-(60/C6*C10))/(C9*C8))))*1000</f>
        <v/>
      </c>
      <c r="F188" s="27">
        <f>IF(AND(MOD((157/80*(60/C6)),(60/C6))&lt;(60/C6*C10),MOD((157/80*(60/C6)),(60/C6))&lt;C13),-ABS(C12)*SIN(PI()*MOD((157/80*(60/C6)),(60/C6))/C13),0)</f>
        <v/>
      </c>
      <c r="G188" s="27">
        <f>C7*(C11/(C8+C11))+(E188/1000)/C11+F188</f>
        <v/>
      </c>
      <c r="H188" s="27">
        <f>C188-G188</f>
        <v/>
      </c>
      <c r="I188" s="27">
        <f>C7+(E188/1000)/C8</f>
        <v/>
      </c>
    </row>
    <row r="189" ht="12.95" customHeight="1" s="44">
      <c r="B189" s="25">
        <f>(158/80*(60/C6))</f>
        <v/>
      </c>
      <c r="C189" s="25">
        <f>IF(MOD((158/80*(60/C6)),(60/C6))&lt;(60/C6*C10),C7+(IF(MOD((158/80*(60/C6)),(60/C6))&lt;(60/C6*C10),MIN(C5*MOD((158/80*(60/C6)),(60/C6)),C4),C4*EXP(-(MOD((158/80*(60/C6)),(60/C6))-(60/C6*C10))/(C9*C8))))/C8+C5*C9-F189,C7+(IF(MOD((158/80*(60/C6)),(60/C6))&lt;(60/C6*C10),MIN(C5*MOD((158/80*(60/C6)),(60/C6)),C4),C4*EXP(-(MOD((158/80*(60/C6)),(60/C6))-(60/C6*C10))/(C9*C8))))/C8)</f>
        <v/>
      </c>
      <c r="D189" s="25">
        <f>IF(MOD((158/80*(60/C6)),(60/C6))&lt;(60/C6*C10),C5*60,-(IF(MOD((158/80*(60/C6)),(60/C6))&lt;(60/C6*C10),MIN(C5*MOD((158/80*(60/C6)),(60/C6)),C4),C4*EXP(-(MOD((158/80*(60/C6)),(60/C6))-(60/C6*C10))/(C9*C8))))/(C9*C8)*60)</f>
        <v/>
      </c>
      <c r="E189" s="26">
        <f>(IF(MOD((158/80*(60/C6)),(60/C6))&lt;(60/C6*C10),MIN(C5*MOD((158/80*(60/C6)),(60/C6)),C4),C4*EXP(-(MOD((158/80*(60/C6)),(60/C6))-(60/C6*C10))/(C9*C8))))*1000</f>
        <v/>
      </c>
      <c r="F189" s="25">
        <f>IF(AND(MOD((158/80*(60/C6)),(60/C6))&lt;(60/C6*C10),MOD((158/80*(60/C6)),(60/C6))&lt;C13),-ABS(C12)*SIN(PI()*MOD((158/80*(60/C6)),(60/C6))/C13),0)</f>
        <v/>
      </c>
      <c r="G189" s="25">
        <f>C7*(C11/(C8+C11))+(E189/1000)/C11+F189</f>
        <v/>
      </c>
      <c r="H189" s="25">
        <f>C189-G189</f>
        <v/>
      </c>
      <c r="I189" s="25">
        <f>C7+(E189/1000)/C8</f>
        <v/>
      </c>
    </row>
    <row r="190" ht="12.95" customHeight="1" s="44">
      <c r="B190" s="27">
        <f>(159/80*(60/C6))</f>
        <v/>
      </c>
      <c r="C190" s="27">
        <f>IF(MOD((159/80*(60/C6)),(60/C6))&lt;(60/C6*C10),C7+(IF(MOD((159/80*(60/C6)),(60/C6))&lt;(60/C6*C10),MIN(C5*MOD((159/80*(60/C6)),(60/C6)),C4),C4*EXP(-(MOD((159/80*(60/C6)),(60/C6))-(60/C6*C10))/(C9*C8))))/C8+C5*C9-F190,C7+(IF(MOD((159/80*(60/C6)),(60/C6))&lt;(60/C6*C10),MIN(C5*MOD((159/80*(60/C6)),(60/C6)),C4),C4*EXP(-(MOD((159/80*(60/C6)),(60/C6))-(60/C6*C10))/(C9*C8))))/C8)</f>
        <v/>
      </c>
      <c r="D190" s="27">
        <f>IF(MOD((159/80*(60/C6)),(60/C6))&lt;(60/C6*C10),C5*60,-(IF(MOD((159/80*(60/C6)),(60/C6))&lt;(60/C6*C10),MIN(C5*MOD((159/80*(60/C6)),(60/C6)),C4),C4*EXP(-(MOD((159/80*(60/C6)),(60/C6))-(60/C6*C10))/(C9*C8))))/(C9*C8)*60)</f>
        <v/>
      </c>
      <c r="E190" s="28">
        <f>(IF(MOD((159/80*(60/C6)),(60/C6))&lt;(60/C6*C10),MIN(C5*MOD((159/80*(60/C6)),(60/C6)),C4),C4*EXP(-(MOD((159/80*(60/C6)),(60/C6))-(60/C6*C10))/(C9*C8))))*1000</f>
        <v/>
      </c>
      <c r="F190" s="27">
        <f>IF(AND(MOD((159/80*(60/C6)),(60/C6))&lt;(60/C6*C10),MOD((159/80*(60/C6)),(60/C6))&lt;C13),-ABS(C12)*SIN(PI()*MOD((159/80*(60/C6)),(60/C6))/C13),0)</f>
        <v/>
      </c>
      <c r="G190" s="27">
        <f>C7*(C11/(C8+C11))+(E190/1000)/C11+F190</f>
        <v/>
      </c>
      <c r="H190" s="27">
        <f>C190-G190</f>
        <v/>
      </c>
      <c r="I190" s="27">
        <f>C7+(E190/1000)/C8</f>
        <v/>
      </c>
    </row>
    <row r="191" ht="12.95" customHeight="1" s="44">
      <c r="B191" s="25">
        <f>(160/80*(60/C6))</f>
        <v/>
      </c>
      <c r="C191" s="25">
        <f>IF(MOD((160/80*(60/C6)),(60/C6))&lt;(60/C6*C10),C7+(IF(MOD((160/80*(60/C6)),(60/C6))&lt;(60/C6*C10),MIN(C5*MOD((160/80*(60/C6)),(60/C6)),C4),C4*EXP(-(MOD((160/80*(60/C6)),(60/C6))-(60/C6*C10))/(C9*C8))))/C8+C5*C9-F191,C7+(IF(MOD((160/80*(60/C6)),(60/C6))&lt;(60/C6*C10),MIN(C5*MOD((160/80*(60/C6)),(60/C6)),C4),C4*EXP(-(MOD((160/80*(60/C6)),(60/C6))-(60/C6*C10))/(C9*C8))))/C8)</f>
        <v/>
      </c>
      <c r="D191" s="25">
        <f>IF(MOD((160/80*(60/C6)),(60/C6))&lt;(60/C6*C10),C5*60,-(IF(MOD((160/80*(60/C6)),(60/C6))&lt;(60/C6*C10),MIN(C5*MOD((160/80*(60/C6)),(60/C6)),C4),C4*EXP(-(MOD((160/80*(60/C6)),(60/C6))-(60/C6*C10))/(C9*C8))))/(C9*C8)*60)</f>
        <v/>
      </c>
      <c r="E191" s="26">
        <f>(IF(MOD((160/80*(60/C6)),(60/C6))&lt;(60/C6*C10),MIN(C5*MOD((160/80*(60/C6)),(60/C6)),C4),C4*EXP(-(MOD((160/80*(60/C6)),(60/C6))-(60/C6*C10))/(C9*C8))))*1000</f>
        <v/>
      </c>
      <c r="F191" s="25">
        <f>IF(AND(MOD((160/80*(60/C6)),(60/C6))&lt;(60/C6*C10),MOD((160/80*(60/C6)),(60/C6))&lt;C13),-ABS(C12)*SIN(PI()*MOD((160/80*(60/C6)),(60/C6))/C13),0)</f>
        <v/>
      </c>
      <c r="G191" s="25">
        <f>C7*(C11/(C8+C11))+(E191/1000)/C11+F191</f>
        <v/>
      </c>
      <c r="H191" s="25">
        <f>C191-G191</f>
        <v/>
      </c>
      <c r="I191" s="25">
        <f>C7+(E191/1000)/C8</f>
        <v/>
      </c>
    </row>
    <row r="192" ht="12.95" customHeight="1" s="44">
      <c r="B192" s="27">
        <f>(161/80*(60/C6))</f>
        <v/>
      </c>
      <c r="C192" s="27">
        <f>IF(MOD((161/80*(60/C6)),(60/C6))&lt;(60/C6*C10),C7+(IF(MOD((161/80*(60/C6)),(60/C6))&lt;(60/C6*C10),MIN(C5*MOD((161/80*(60/C6)),(60/C6)),C4),C4*EXP(-(MOD((161/80*(60/C6)),(60/C6))-(60/C6*C10))/(C9*C8))))/C8+C5*C9-F192,C7+(IF(MOD((161/80*(60/C6)),(60/C6))&lt;(60/C6*C10),MIN(C5*MOD((161/80*(60/C6)),(60/C6)),C4),C4*EXP(-(MOD((161/80*(60/C6)),(60/C6))-(60/C6*C10))/(C9*C8))))/C8)</f>
        <v/>
      </c>
      <c r="D192" s="27">
        <f>IF(MOD((161/80*(60/C6)),(60/C6))&lt;(60/C6*C10),C5*60,-(IF(MOD((161/80*(60/C6)),(60/C6))&lt;(60/C6*C10),MIN(C5*MOD((161/80*(60/C6)),(60/C6)),C4),C4*EXP(-(MOD((161/80*(60/C6)),(60/C6))-(60/C6*C10))/(C9*C8))))/(C9*C8)*60)</f>
        <v/>
      </c>
      <c r="E192" s="28">
        <f>(IF(MOD((161/80*(60/C6)),(60/C6))&lt;(60/C6*C10),MIN(C5*MOD((161/80*(60/C6)),(60/C6)),C4),C4*EXP(-(MOD((161/80*(60/C6)),(60/C6))-(60/C6*C10))/(C9*C8))))*1000</f>
        <v/>
      </c>
      <c r="F192" s="27">
        <f>IF(AND(MOD((161/80*(60/C6)),(60/C6))&lt;(60/C6*C10),MOD((161/80*(60/C6)),(60/C6))&lt;C13),-ABS(C12)*SIN(PI()*MOD((161/80*(60/C6)),(60/C6))/C13),0)</f>
        <v/>
      </c>
      <c r="G192" s="27">
        <f>C7*(C11/(C8+C11))+(E192/1000)/C11+F192</f>
        <v/>
      </c>
      <c r="H192" s="27">
        <f>C192-G192</f>
        <v/>
      </c>
      <c r="I192" s="27">
        <f>C7+(E192/1000)/C8</f>
        <v/>
      </c>
    </row>
    <row r="193" ht="12.95" customHeight="1" s="44">
      <c r="B193" s="25">
        <f>(162/80*(60/C6))</f>
        <v/>
      </c>
      <c r="C193" s="25">
        <f>IF(MOD((162/80*(60/C6)),(60/C6))&lt;(60/C6*C10),C7+(IF(MOD((162/80*(60/C6)),(60/C6))&lt;(60/C6*C10),MIN(C5*MOD((162/80*(60/C6)),(60/C6)),C4),C4*EXP(-(MOD((162/80*(60/C6)),(60/C6))-(60/C6*C10))/(C9*C8))))/C8+C5*C9-F193,C7+(IF(MOD((162/80*(60/C6)),(60/C6))&lt;(60/C6*C10),MIN(C5*MOD((162/80*(60/C6)),(60/C6)),C4),C4*EXP(-(MOD((162/80*(60/C6)),(60/C6))-(60/C6*C10))/(C9*C8))))/C8)</f>
        <v/>
      </c>
      <c r="D193" s="25">
        <f>IF(MOD((162/80*(60/C6)),(60/C6))&lt;(60/C6*C10),C5*60,-(IF(MOD((162/80*(60/C6)),(60/C6))&lt;(60/C6*C10),MIN(C5*MOD((162/80*(60/C6)),(60/C6)),C4),C4*EXP(-(MOD((162/80*(60/C6)),(60/C6))-(60/C6*C10))/(C9*C8))))/(C9*C8)*60)</f>
        <v/>
      </c>
      <c r="E193" s="26">
        <f>(IF(MOD((162/80*(60/C6)),(60/C6))&lt;(60/C6*C10),MIN(C5*MOD((162/80*(60/C6)),(60/C6)),C4),C4*EXP(-(MOD((162/80*(60/C6)),(60/C6))-(60/C6*C10))/(C9*C8))))*1000</f>
        <v/>
      </c>
      <c r="F193" s="25">
        <f>IF(AND(MOD((162/80*(60/C6)),(60/C6))&lt;(60/C6*C10),MOD((162/80*(60/C6)),(60/C6))&lt;C13),-ABS(C12)*SIN(PI()*MOD((162/80*(60/C6)),(60/C6))/C13),0)</f>
        <v/>
      </c>
      <c r="G193" s="25">
        <f>C7*(C11/(C8+C11))+(E193/1000)/C11+F193</f>
        <v/>
      </c>
      <c r="H193" s="25">
        <f>C193-G193</f>
        <v/>
      </c>
      <c r="I193" s="25">
        <f>C7+(E193/1000)/C8</f>
        <v/>
      </c>
    </row>
    <row r="194" ht="12.95" customHeight="1" s="44">
      <c r="B194" s="27">
        <f>(163/80*(60/C6))</f>
        <v/>
      </c>
      <c r="C194" s="27">
        <f>IF(MOD((163/80*(60/C6)),(60/C6))&lt;(60/C6*C10),C7+(IF(MOD((163/80*(60/C6)),(60/C6))&lt;(60/C6*C10),MIN(C5*MOD((163/80*(60/C6)),(60/C6)),C4),C4*EXP(-(MOD((163/80*(60/C6)),(60/C6))-(60/C6*C10))/(C9*C8))))/C8+C5*C9-F194,C7+(IF(MOD((163/80*(60/C6)),(60/C6))&lt;(60/C6*C10),MIN(C5*MOD((163/80*(60/C6)),(60/C6)),C4),C4*EXP(-(MOD((163/80*(60/C6)),(60/C6))-(60/C6*C10))/(C9*C8))))/C8)</f>
        <v/>
      </c>
      <c r="D194" s="27">
        <f>IF(MOD((163/80*(60/C6)),(60/C6))&lt;(60/C6*C10),C5*60,-(IF(MOD((163/80*(60/C6)),(60/C6))&lt;(60/C6*C10),MIN(C5*MOD((163/80*(60/C6)),(60/C6)),C4),C4*EXP(-(MOD((163/80*(60/C6)),(60/C6))-(60/C6*C10))/(C9*C8))))/(C9*C8)*60)</f>
        <v/>
      </c>
      <c r="E194" s="28">
        <f>(IF(MOD((163/80*(60/C6)),(60/C6))&lt;(60/C6*C10),MIN(C5*MOD((163/80*(60/C6)),(60/C6)),C4),C4*EXP(-(MOD((163/80*(60/C6)),(60/C6))-(60/C6*C10))/(C9*C8))))*1000</f>
        <v/>
      </c>
      <c r="F194" s="27">
        <f>IF(AND(MOD((163/80*(60/C6)),(60/C6))&lt;(60/C6*C10),MOD((163/80*(60/C6)),(60/C6))&lt;C13),-ABS(C12)*SIN(PI()*MOD((163/80*(60/C6)),(60/C6))/C13),0)</f>
        <v/>
      </c>
      <c r="G194" s="27">
        <f>C7*(C11/(C8+C11))+(E194/1000)/C11+F194</f>
        <v/>
      </c>
      <c r="H194" s="27">
        <f>C194-G194</f>
        <v/>
      </c>
      <c r="I194" s="27">
        <f>C7+(E194/1000)/C8</f>
        <v/>
      </c>
    </row>
    <row r="195" ht="12.95" customHeight="1" s="44">
      <c r="B195" s="25">
        <f>(164/80*(60/C6))</f>
        <v/>
      </c>
      <c r="C195" s="25">
        <f>IF(MOD((164/80*(60/C6)),(60/C6))&lt;(60/C6*C10),C7+(IF(MOD((164/80*(60/C6)),(60/C6))&lt;(60/C6*C10),MIN(C5*MOD((164/80*(60/C6)),(60/C6)),C4),C4*EXP(-(MOD((164/80*(60/C6)),(60/C6))-(60/C6*C10))/(C9*C8))))/C8+C5*C9-F195,C7+(IF(MOD((164/80*(60/C6)),(60/C6))&lt;(60/C6*C10),MIN(C5*MOD((164/80*(60/C6)),(60/C6)),C4),C4*EXP(-(MOD((164/80*(60/C6)),(60/C6))-(60/C6*C10))/(C9*C8))))/C8)</f>
        <v/>
      </c>
      <c r="D195" s="25">
        <f>IF(MOD((164/80*(60/C6)),(60/C6))&lt;(60/C6*C10),C5*60,-(IF(MOD((164/80*(60/C6)),(60/C6))&lt;(60/C6*C10),MIN(C5*MOD((164/80*(60/C6)),(60/C6)),C4),C4*EXP(-(MOD((164/80*(60/C6)),(60/C6))-(60/C6*C10))/(C9*C8))))/(C9*C8)*60)</f>
        <v/>
      </c>
      <c r="E195" s="26">
        <f>(IF(MOD((164/80*(60/C6)),(60/C6))&lt;(60/C6*C10),MIN(C5*MOD((164/80*(60/C6)),(60/C6)),C4),C4*EXP(-(MOD((164/80*(60/C6)),(60/C6))-(60/C6*C10))/(C9*C8))))*1000</f>
        <v/>
      </c>
      <c r="F195" s="25">
        <f>IF(AND(MOD((164/80*(60/C6)),(60/C6))&lt;(60/C6*C10),MOD((164/80*(60/C6)),(60/C6))&lt;C13),-ABS(C12)*SIN(PI()*MOD((164/80*(60/C6)),(60/C6))/C13),0)</f>
        <v/>
      </c>
      <c r="G195" s="25">
        <f>C7*(C11/(C8+C11))+(E195/1000)/C11+F195</f>
        <v/>
      </c>
      <c r="H195" s="25">
        <f>C195-G195</f>
        <v/>
      </c>
      <c r="I195" s="25">
        <f>C7+(E195/1000)/C8</f>
        <v/>
      </c>
    </row>
    <row r="196" ht="12.95" customHeight="1" s="44">
      <c r="B196" s="27">
        <f>(165/80*(60/C6))</f>
        <v/>
      </c>
      <c r="C196" s="27">
        <f>IF(MOD((165/80*(60/C6)),(60/C6))&lt;(60/C6*C10),C7+(IF(MOD((165/80*(60/C6)),(60/C6))&lt;(60/C6*C10),MIN(C5*MOD((165/80*(60/C6)),(60/C6)),C4),C4*EXP(-(MOD((165/80*(60/C6)),(60/C6))-(60/C6*C10))/(C9*C8))))/C8+C5*C9-F196,C7+(IF(MOD((165/80*(60/C6)),(60/C6))&lt;(60/C6*C10),MIN(C5*MOD((165/80*(60/C6)),(60/C6)),C4),C4*EXP(-(MOD((165/80*(60/C6)),(60/C6))-(60/C6*C10))/(C9*C8))))/C8)</f>
        <v/>
      </c>
      <c r="D196" s="27">
        <f>IF(MOD((165/80*(60/C6)),(60/C6))&lt;(60/C6*C10),C5*60,-(IF(MOD((165/80*(60/C6)),(60/C6))&lt;(60/C6*C10),MIN(C5*MOD((165/80*(60/C6)),(60/C6)),C4),C4*EXP(-(MOD((165/80*(60/C6)),(60/C6))-(60/C6*C10))/(C9*C8))))/(C9*C8)*60)</f>
        <v/>
      </c>
      <c r="E196" s="28">
        <f>(IF(MOD((165/80*(60/C6)),(60/C6))&lt;(60/C6*C10),MIN(C5*MOD((165/80*(60/C6)),(60/C6)),C4),C4*EXP(-(MOD((165/80*(60/C6)),(60/C6))-(60/C6*C10))/(C9*C8))))*1000</f>
        <v/>
      </c>
      <c r="F196" s="27">
        <f>IF(AND(MOD((165/80*(60/C6)),(60/C6))&lt;(60/C6*C10),MOD((165/80*(60/C6)),(60/C6))&lt;C13),-ABS(C12)*SIN(PI()*MOD((165/80*(60/C6)),(60/C6))/C13),0)</f>
        <v/>
      </c>
      <c r="G196" s="27">
        <f>C7*(C11/(C8+C11))+(E196/1000)/C11+F196</f>
        <v/>
      </c>
      <c r="H196" s="27">
        <f>C196-G196</f>
        <v/>
      </c>
      <c r="I196" s="27">
        <f>C7+(E196/1000)/C8</f>
        <v/>
      </c>
    </row>
    <row r="197" ht="12.95" customHeight="1" s="44">
      <c r="B197" s="25">
        <f>(166/80*(60/C6))</f>
        <v/>
      </c>
      <c r="C197" s="25">
        <f>IF(MOD((166/80*(60/C6)),(60/C6))&lt;(60/C6*C10),C7+(IF(MOD((166/80*(60/C6)),(60/C6))&lt;(60/C6*C10),MIN(C5*MOD((166/80*(60/C6)),(60/C6)),C4),C4*EXP(-(MOD((166/80*(60/C6)),(60/C6))-(60/C6*C10))/(C9*C8))))/C8+C5*C9-F197,C7+(IF(MOD((166/80*(60/C6)),(60/C6))&lt;(60/C6*C10),MIN(C5*MOD((166/80*(60/C6)),(60/C6)),C4),C4*EXP(-(MOD((166/80*(60/C6)),(60/C6))-(60/C6*C10))/(C9*C8))))/C8)</f>
        <v/>
      </c>
      <c r="D197" s="25">
        <f>IF(MOD((166/80*(60/C6)),(60/C6))&lt;(60/C6*C10),C5*60,-(IF(MOD((166/80*(60/C6)),(60/C6))&lt;(60/C6*C10),MIN(C5*MOD((166/80*(60/C6)),(60/C6)),C4),C4*EXP(-(MOD((166/80*(60/C6)),(60/C6))-(60/C6*C10))/(C9*C8))))/(C9*C8)*60)</f>
        <v/>
      </c>
      <c r="E197" s="26">
        <f>(IF(MOD((166/80*(60/C6)),(60/C6))&lt;(60/C6*C10),MIN(C5*MOD((166/80*(60/C6)),(60/C6)),C4),C4*EXP(-(MOD((166/80*(60/C6)),(60/C6))-(60/C6*C10))/(C9*C8))))*1000</f>
        <v/>
      </c>
      <c r="F197" s="25">
        <f>IF(AND(MOD((166/80*(60/C6)),(60/C6))&lt;(60/C6*C10),MOD((166/80*(60/C6)),(60/C6))&lt;C13),-ABS(C12)*SIN(PI()*MOD((166/80*(60/C6)),(60/C6))/C13),0)</f>
        <v/>
      </c>
      <c r="G197" s="25">
        <f>C7*(C11/(C8+C11))+(E197/1000)/C11+F197</f>
        <v/>
      </c>
      <c r="H197" s="25">
        <f>C197-G197</f>
        <v/>
      </c>
      <c r="I197" s="25">
        <f>C7+(E197/1000)/C8</f>
        <v/>
      </c>
    </row>
    <row r="198" ht="12.95" customHeight="1" s="44">
      <c r="B198" s="27">
        <f>(167/80*(60/C6))</f>
        <v/>
      </c>
      <c r="C198" s="27">
        <f>IF(MOD((167/80*(60/C6)),(60/C6))&lt;(60/C6*C10),C7+(IF(MOD((167/80*(60/C6)),(60/C6))&lt;(60/C6*C10),MIN(C5*MOD((167/80*(60/C6)),(60/C6)),C4),C4*EXP(-(MOD((167/80*(60/C6)),(60/C6))-(60/C6*C10))/(C9*C8))))/C8+C5*C9-F198,C7+(IF(MOD((167/80*(60/C6)),(60/C6))&lt;(60/C6*C10),MIN(C5*MOD((167/80*(60/C6)),(60/C6)),C4),C4*EXP(-(MOD((167/80*(60/C6)),(60/C6))-(60/C6*C10))/(C9*C8))))/C8)</f>
        <v/>
      </c>
      <c r="D198" s="27">
        <f>IF(MOD((167/80*(60/C6)),(60/C6))&lt;(60/C6*C10),C5*60,-(IF(MOD((167/80*(60/C6)),(60/C6))&lt;(60/C6*C10),MIN(C5*MOD((167/80*(60/C6)),(60/C6)),C4),C4*EXP(-(MOD((167/80*(60/C6)),(60/C6))-(60/C6*C10))/(C9*C8))))/(C9*C8)*60)</f>
        <v/>
      </c>
      <c r="E198" s="28">
        <f>(IF(MOD((167/80*(60/C6)),(60/C6))&lt;(60/C6*C10),MIN(C5*MOD((167/80*(60/C6)),(60/C6)),C4),C4*EXP(-(MOD((167/80*(60/C6)),(60/C6))-(60/C6*C10))/(C9*C8))))*1000</f>
        <v/>
      </c>
      <c r="F198" s="27">
        <f>IF(AND(MOD((167/80*(60/C6)),(60/C6))&lt;(60/C6*C10),MOD((167/80*(60/C6)),(60/C6))&lt;C13),-ABS(C12)*SIN(PI()*MOD((167/80*(60/C6)),(60/C6))/C13),0)</f>
        <v/>
      </c>
      <c r="G198" s="27">
        <f>C7*(C11/(C8+C11))+(E198/1000)/C11+F198</f>
        <v/>
      </c>
      <c r="H198" s="27">
        <f>C198-G198</f>
        <v/>
      </c>
      <c r="I198" s="27">
        <f>C7+(E198/1000)/C8</f>
        <v/>
      </c>
    </row>
    <row r="199" ht="12.95" customHeight="1" s="44">
      <c r="B199" s="25">
        <f>(168/80*(60/C6))</f>
        <v/>
      </c>
      <c r="C199" s="25">
        <f>IF(MOD((168/80*(60/C6)),(60/C6))&lt;(60/C6*C10),C7+(IF(MOD((168/80*(60/C6)),(60/C6))&lt;(60/C6*C10),MIN(C5*MOD((168/80*(60/C6)),(60/C6)),C4),C4*EXP(-(MOD((168/80*(60/C6)),(60/C6))-(60/C6*C10))/(C9*C8))))/C8+C5*C9-F199,C7+(IF(MOD((168/80*(60/C6)),(60/C6))&lt;(60/C6*C10),MIN(C5*MOD((168/80*(60/C6)),(60/C6)),C4),C4*EXP(-(MOD((168/80*(60/C6)),(60/C6))-(60/C6*C10))/(C9*C8))))/C8)</f>
        <v/>
      </c>
      <c r="D199" s="25">
        <f>IF(MOD((168/80*(60/C6)),(60/C6))&lt;(60/C6*C10),C5*60,-(IF(MOD((168/80*(60/C6)),(60/C6))&lt;(60/C6*C10),MIN(C5*MOD((168/80*(60/C6)),(60/C6)),C4),C4*EXP(-(MOD((168/80*(60/C6)),(60/C6))-(60/C6*C10))/(C9*C8))))/(C9*C8)*60)</f>
        <v/>
      </c>
      <c r="E199" s="26">
        <f>(IF(MOD((168/80*(60/C6)),(60/C6))&lt;(60/C6*C10),MIN(C5*MOD((168/80*(60/C6)),(60/C6)),C4),C4*EXP(-(MOD((168/80*(60/C6)),(60/C6))-(60/C6*C10))/(C9*C8))))*1000</f>
        <v/>
      </c>
      <c r="F199" s="25">
        <f>IF(AND(MOD((168/80*(60/C6)),(60/C6))&lt;(60/C6*C10),MOD((168/80*(60/C6)),(60/C6))&lt;C13),-ABS(C12)*SIN(PI()*MOD((168/80*(60/C6)),(60/C6))/C13),0)</f>
        <v/>
      </c>
      <c r="G199" s="25">
        <f>C7*(C11/(C8+C11))+(E199/1000)/C11+F199</f>
        <v/>
      </c>
      <c r="H199" s="25">
        <f>C199-G199</f>
        <v/>
      </c>
      <c r="I199" s="25">
        <f>C7+(E199/1000)/C8</f>
        <v/>
      </c>
    </row>
    <row r="200" ht="12.95" customHeight="1" s="44">
      <c r="B200" s="27">
        <f>(169/80*(60/C6))</f>
        <v/>
      </c>
      <c r="C200" s="27">
        <f>IF(MOD((169/80*(60/C6)),(60/C6))&lt;(60/C6*C10),C7+(IF(MOD((169/80*(60/C6)),(60/C6))&lt;(60/C6*C10),MIN(C5*MOD((169/80*(60/C6)),(60/C6)),C4),C4*EXP(-(MOD((169/80*(60/C6)),(60/C6))-(60/C6*C10))/(C9*C8))))/C8+C5*C9-F200,C7+(IF(MOD((169/80*(60/C6)),(60/C6))&lt;(60/C6*C10),MIN(C5*MOD((169/80*(60/C6)),(60/C6)),C4),C4*EXP(-(MOD((169/80*(60/C6)),(60/C6))-(60/C6*C10))/(C9*C8))))/C8)</f>
        <v/>
      </c>
      <c r="D200" s="27">
        <f>IF(MOD((169/80*(60/C6)),(60/C6))&lt;(60/C6*C10),C5*60,-(IF(MOD((169/80*(60/C6)),(60/C6))&lt;(60/C6*C10),MIN(C5*MOD((169/80*(60/C6)),(60/C6)),C4),C4*EXP(-(MOD((169/80*(60/C6)),(60/C6))-(60/C6*C10))/(C9*C8))))/(C9*C8)*60)</f>
        <v/>
      </c>
      <c r="E200" s="28">
        <f>(IF(MOD((169/80*(60/C6)),(60/C6))&lt;(60/C6*C10),MIN(C5*MOD((169/80*(60/C6)),(60/C6)),C4),C4*EXP(-(MOD((169/80*(60/C6)),(60/C6))-(60/C6*C10))/(C9*C8))))*1000</f>
        <v/>
      </c>
      <c r="F200" s="27">
        <f>IF(AND(MOD((169/80*(60/C6)),(60/C6))&lt;(60/C6*C10),MOD((169/80*(60/C6)),(60/C6))&lt;C13),-ABS(C12)*SIN(PI()*MOD((169/80*(60/C6)),(60/C6))/C13),0)</f>
        <v/>
      </c>
      <c r="G200" s="27">
        <f>C7*(C11/(C8+C11))+(E200/1000)/C11+F200</f>
        <v/>
      </c>
      <c r="H200" s="27">
        <f>C200-G200</f>
        <v/>
      </c>
      <c r="I200" s="27">
        <f>C7+(E200/1000)/C8</f>
        <v/>
      </c>
    </row>
    <row r="201" ht="12.95" customHeight="1" s="44">
      <c r="B201" s="25">
        <f>(170/80*(60/C6))</f>
        <v/>
      </c>
      <c r="C201" s="25">
        <f>IF(MOD((170/80*(60/C6)),(60/C6))&lt;(60/C6*C10),C7+(IF(MOD((170/80*(60/C6)),(60/C6))&lt;(60/C6*C10),MIN(C5*MOD((170/80*(60/C6)),(60/C6)),C4),C4*EXP(-(MOD((170/80*(60/C6)),(60/C6))-(60/C6*C10))/(C9*C8))))/C8+C5*C9-F201,C7+(IF(MOD((170/80*(60/C6)),(60/C6))&lt;(60/C6*C10),MIN(C5*MOD((170/80*(60/C6)),(60/C6)),C4),C4*EXP(-(MOD((170/80*(60/C6)),(60/C6))-(60/C6*C10))/(C9*C8))))/C8)</f>
        <v/>
      </c>
      <c r="D201" s="25">
        <f>IF(MOD((170/80*(60/C6)),(60/C6))&lt;(60/C6*C10),C5*60,-(IF(MOD((170/80*(60/C6)),(60/C6))&lt;(60/C6*C10),MIN(C5*MOD((170/80*(60/C6)),(60/C6)),C4),C4*EXP(-(MOD((170/80*(60/C6)),(60/C6))-(60/C6*C10))/(C9*C8))))/(C9*C8)*60)</f>
        <v/>
      </c>
      <c r="E201" s="26">
        <f>(IF(MOD((170/80*(60/C6)),(60/C6))&lt;(60/C6*C10),MIN(C5*MOD((170/80*(60/C6)),(60/C6)),C4),C4*EXP(-(MOD((170/80*(60/C6)),(60/C6))-(60/C6*C10))/(C9*C8))))*1000</f>
        <v/>
      </c>
      <c r="F201" s="25">
        <f>IF(AND(MOD((170/80*(60/C6)),(60/C6))&lt;(60/C6*C10),MOD((170/80*(60/C6)),(60/C6))&lt;C13),-ABS(C12)*SIN(PI()*MOD((170/80*(60/C6)),(60/C6))/C13),0)</f>
        <v/>
      </c>
      <c r="G201" s="25">
        <f>C7*(C11/(C8+C11))+(E201/1000)/C11+F201</f>
        <v/>
      </c>
      <c r="H201" s="25">
        <f>C201-G201</f>
        <v/>
      </c>
      <c r="I201" s="25">
        <f>C7+(E201/1000)/C8</f>
        <v/>
      </c>
    </row>
    <row r="202" ht="12.95" customHeight="1" s="44">
      <c r="B202" s="27">
        <f>(171/80*(60/C6))</f>
        <v/>
      </c>
      <c r="C202" s="27">
        <f>IF(MOD((171/80*(60/C6)),(60/C6))&lt;(60/C6*C10),C7+(IF(MOD((171/80*(60/C6)),(60/C6))&lt;(60/C6*C10),MIN(C5*MOD((171/80*(60/C6)),(60/C6)),C4),C4*EXP(-(MOD((171/80*(60/C6)),(60/C6))-(60/C6*C10))/(C9*C8))))/C8+C5*C9-F202,C7+(IF(MOD((171/80*(60/C6)),(60/C6))&lt;(60/C6*C10),MIN(C5*MOD((171/80*(60/C6)),(60/C6)),C4),C4*EXP(-(MOD((171/80*(60/C6)),(60/C6))-(60/C6*C10))/(C9*C8))))/C8)</f>
        <v/>
      </c>
      <c r="D202" s="27">
        <f>IF(MOD((171/80*(60/C6)),(60/C6))&lt;(60/C6*C10),C5*60,-(IF(MOD((171/80*(60/C6)),(60/C6))&lt;(60/C6*C10),MIN(C5*MOD((171/80*(60/C6)),(60/C6)),C4),C4*EXP(-(MOD((171/80*(60/C6)),(60/C6))-(60/C6*C10))/(C9*C8))))/(C9*C8)*60)</f>
        <v/>
      </c>
      <c r="E202" s="28">
        <f>(IF(MOD((171/80*(60/C6)),(60/C6))&lt;(60/C6*C10),MIN(C5*MOD((171/80*(60/C6)),(60/C6)),C4),C4*EXP(-(MOD((171/80*(60/C6)),(60/C6))-(60/C6*C10))/(C9*C8))))*1000</f>
        <v/>
      </c>
      <c r="F202" s="27">
        <f>IF(AND(MOD((171/80*(60/C6)),(60/C6))&lt;(60/C6*C10),MOD((171/80*(60/C6)),(60/C6))&lt;C13),-ABS(C12)*SIN(PI()*MOD((171/80*(60/C6)),(60/C6))/C13),0)</f>
        <v/>
      </c>
      <c r="G202" s="27">
        <f>C7*(C11/(C8+C11))+(E202/1000)/C11+F202</f>
        <v/>
      </c>
      <c r="H202" s="27">
        <f>C202-G202</f>
        <v/>
      </c>
      <c r="I202" s="27">
        <f>C7+(E202/1000)/C8</f>
        <v/>
      </c>
    </row>
    <row r="203" ht="12.95" customHeight="1" s="44">
      <c r="B203" s="25">
        <f>(172/80*(60/C6))</f>
        <v/>
      </c>
      <c r="C203" s="25">
        <f>IF(MOD((172/80*(60/C6)),(60/C6))&lt;(60/C6*C10),C7+(IF(MOD((172/80*(60/C6)),(60/C6))&lt;(60/C6*C10),MIN(C5*MOD((172/80*(60/C6)),(60/C6)),C4),C4*EXP(-(MOD((172/80*(60/C6)),(60/C6))-(60/C6*C10))/(C9*C8))))/C8+C5*C9-F203,C7+(IF(MOD((172/80*(60/C6)),(60/C6))&lt;(60/C6*C10),MIN(C5*MOD((172/80*(60/C6)),(60/C6)),C4),C4*EXP(-(MOD((172/80*(60/C6)),(60/C6))-(60/C6*C10))/(C9*C8))))/C8)</f>
        <v/>
      </c>
      <c r="D203" s="25">
        <f>IF(MOD((172/80*(60/C6)),(60/C6))&lt;(60/C6*C10),C5*60,-(IF(MOD((172/80*(60/C6)),(60/C6))&lt;(60/C6*C10),MIN(C5*MOD((172/80*(60/C6)),(60/C6)),C4),C4*EXP(-(MOD((172/80*(60/C6)),(60/C6))-(60/C6*C10))/(C9*C8))))/(C9*C8)*60)</f>
        <v/>
      </c>
      <c r="E203" s="26">
        <f>(IF(MOD((172/80*(60/C6)),(60/C6))&lt;(60/C6*C10),MIN(C5*MOD((172/80*(60/C6)),(60/C6)),C4),C4*EXP(-(MOD((172/80*(60/C6)),(60/C6))-(60/C6*C10))/(C9*C8))))*1000</f>
        <v/>
      </c>
      <c r="F203" s="25">
        <f>IF(AND(MOD((172/80*(60/C6)),(60/C6))&lt;(60/C6*C10),MOD((172/80*(60/C6)),(60/C6))&lt;C13),-ABS(C12)*SIN(PI()*MOD((172/80*(60/C6)),(60/C6))/C13),0)</f>
        <v/>
      </c>
      <c r="G203" s="25">
        <f>C7*(C11/(C8+C11))+(E203/1000)/C11+F203</f>
        <v/>
      </c>
      <c r="H203" s="25">
        <f>C203-G203</f>
        <v/>
      </c>
      <c r="I203" s="25">
        <f>C7+(E203/1000)/C8</f>
        <v/>
      </c>
    </row>
    <row r="204" ht="12.95" customHeight="1" s="44">
      <c r="B204" s="27">
        <f>(173/80*(60/C6))</f>
        <v/>
      </c>
      <c r="C204" s="27">
        <f>IF(MOD((173/80*(60/C6)),(60/C6))&lt;(60/C6*C10),C7+(IF(MOD((173/80*(60/C6)),(60/C6))&lt;(60/C6*C10),MIN(C5*MOD((173/80*(60/C6)),(60/C6)),C4),C4*EXP(-(MOD((173/80*(60/C6)),(60/C6))-(60/C6*C10))/(C9*C8))))/C8+C5*C9-F204,C7+(IF(MOD((173/80*(60/C6)),(60/C6))&lt;(60/C6*C10),MIN(C5*MOD((173/80*(60/C6)),(60/C6)),C4),C4*EXP(-(MOD((173/80*(60/C6)),(60/C6))-(60/C6*C10))/(C9*C8))))/C8)</f>
        <v/>
      </c>
      <c r="D204" s="27">
        <f>IF(MOD((173/80*(60/C6)),(60/C6))&lt;(60/C6*C10),C5*60,-(IF(MOD((173/80*(60/C6)),(60/C6))&lt;(60/C6*C10),MIN(C5*MOD((173/80*(60/C6)),(60/C6)),C4),C4*EXP(-(MOD((173/80*(60/C6)),(60/C6))-(60/C6*C10))/(C9*C8))))/(C9*C8)*60)</f>
        <v/>
      </c>
      <c r="E204" s="28">
        <f>(IF(MOD((173/80*(60/C6)),(60/C6))&lt;(60/C6*C10),MIN(C5*MOD((173/80*(60/C6)),(60/C6)),C4),C4*EXP(-(MOD((173/80*(60/C6)),(60/C6))-(60/C6*C10))/(C9*C8))))*1000</f>
        <v/>
      </c>
      <c r="F204" s="27">
        <f>IF(AND(MOD((173/80*(60/C6)),(60/C6))&lt;(60/C6*C10),MOD((173/80*(60/C6)),(60/C6))&lt;C13),-ABS(C12)*SIN(PI()*MOD((173/80*(60/C6)),(60/C6))/C13),0)</f>
        <v/>
      </c>
      <c r="G204" s="27">
        <f>C7*(C11/(C8+C11))+(E204/1000)/C11+F204</f>
        <v/>
      </c>
      <c r="H204" s="27">
        <f>C204-G204</f>
        <v/>
      </c>
      <c r="I204" s="27">
        <f>C7+(E204/1000)/C8</f>
        <v/>
      </c>
    </row>
    <row r="205" ht="12.95" customHeight="1" s="44">
      <c r="B205" s="25">
        <f>(174/80*(60/C6))</f>
        <v/>
      </c>
      <c r="C205" s="25">
        <f>IF(MOD((174/80*(60/C6)),(60/C6))&lt;(60/C6*C10),C7+(IF(MOD((174/80*(60/C6)),(60/C6))&lt;(60/C6*C10),MIN(C5*MOD((174/80*(60/C6)),(60/C6)),C4),C4*EXP(-(MOD((174/80*(60/C6)),(60/C6))-(60/C6*C10))/(C9*C8))))/C8+C5*C9-F205,C7+(IF(MOD((174/80*(60/C6)),(60/C6))&lt;(60/C6*C10),MIN(C5*MOD((174/80*(60/C6)),(60/C6)),C4),C4*EXP(-(MOD((174/80*(60/C6)),(60/C6))-(60/C6*C10))/(C9*C8))))/C8)</f>
        <v/>
      </c>
      <c r="D205" s="25">
        <f>IF(MOD((174/80*(60/C6)),(60/C6))&lt;(60/C6*C10),C5*60,-(IF(MOD((174/80*(60/C6)),(60/C6))&lt;(60/C6*C10),MIN(C5*MOD((174/80*(60/C6)),(60/C6)),C4),C4*EXP(-(MOD((174/80*(60/C6)),(60/C6))-(60/C6*C10))/(C9*C8))))/(C9*C8)*60)</f>
        <v/>
      </c>
      <c r="E205" s="26">
        <f>(IF(MOD((174/80*(60/C6)),(60/C6))&lt;(60/C6*C10),MIN(C5*MOD((174/80*(60/C6)),(60/C6)),C4),C4*EXP(-(MOD((174/80*(60/C6)),(60/C6))-(60/C6*C10))/(C9*C8))))*1000</f>
        <v/>
      </c>
      <c r="F205" s="25">
        <f>IF(AND(MOD((174/80*(60/C6)),(60/C6))&lt;(60/C6*C10),MOD((174/80*(60/C6)),(60/C6))&lt;C13),-ABS(C12)*SIN(PI()*MOD((174/80*(60/C6)),(60/C6))/C13),0)</f>
        <v/>
      </c>
      <c r="G205" s="25">
        <f>C7*(C11/(C8+C11))+(E205/1000)/C11+F205</f>
        <v/>
      </c>
      <c r="H205" s="25">
        <f>C205-G205</f>
        <v/>
      </c>
      <c r="I205" s="25">
        <f>C7+(E205/1000)/C8</f>
        <v/>
      </c>
    </row>
    <row r="206" ht="12.95" customHeight="1" s="44">
      <c r="B206" s="27">
        <f>(175/80*(60/C6))</f>
        <v/>
      </c>
      <c r="C206" s="27">
        <f>IF(MOD((175/80*(60/C6)),(60/C6))&lt;(60/C6*C10),C7+(IF(MOD((175/80*(60/C6)),(60/C6))&lt;(60/C6*C10),MIN(C5*MOD((175/80*(60/C6)),(60/C6)),C4),C4*EXP(-(MOD((175/80*(60/C6)),(60/C6))-(60/C6*C10))/(C9*C8))))/C8+C5*C9-F206,C7+(IF(MOD((175/80*(60/C6)),(60/C6))&lt;(60/C6*C10),MIN(C5*MOD((175/80*(60/C6)),(60/C6)),C4),C4*EXP(-(MOD((175/80*(60/C6)),(60/C6))-(60/C6*C10))/(C9*C8))))/C8)</f>
        <v/>
      </c>
      <c r="D206" s="27">
        <f>IF(MOD((175/80*(60/C6)),(60/C6))&lt;(60/C6*C10),C5*60,-(IF(MOD((175/80*(60/C6)),(60/C6))&lt;(60/C6*C10),MIN(C5*MOD((175/80*(60/C6)),(60/C6)),C4),C4*EXP(-(MOD((175/80*(60/C6)),(60/C6))-(60/C6*C10))/(C9*C8))))/(C9*C8)*60)</f>
        <v/>
      </c>
      <c r="E206" s="28">
        <f>(IF(MOD((175/80*(60/C6)),(60/C6))&lt;(60/C6*C10),MIN(C5*MOD((175/80*(60/C6)),(60/C6)),C4),C4*EXP(-(MOD((175/80*(60/C6)),(60/C6))-(60/C6*C10))/(C9*C8))))*1000</f>
        <v/>
      </c>
      <c r="F206" s="27">
        <f>IF(AND(MOD((175/80*(60/C6)),(60/C6))&lt;(60/C6*C10),MOD((175/80*(60/C6)),(60/C6))&lt;C13),-ABS(C12)*SIN(PI()*MOD((175/80*(60/C6)),(60/C6))/C13),0)</f>
        <v/>
      </c>
      <c r="G206" s="27">
        <f>C7*(C11/(C8+C11))+(E206/1000)/C11+F206</f>
        <v/>
      </c>
      <c r="H206" s="27">
        <f>C206-G206</f>
        <v/>
      </c>
      <c r="I206" s="27">
        <f>C7+(E206/1000)/C8</f>
        <v/>
      </c>
    </row>
    <row r="207" ht="12.95" customHeight="1" s="44">
      <c r="B207" s="25">
        <f>(176/80*(60/C6))</f>
        <v/>
      </c>
      <c r="C207" s="25">
        <f>IF(MOD((176/80*(60/C6)),(60/C6))&lt;(60/C6*C10),C7+(IF(MOD((176/80*(60/C6)),(60/C6))&lt;(60/C6*C10),MIN(C5*MOD((176/80*(60/C6)),(60/C6)),C4),C4*EXP(-(MOD((176/80*(60/C6)),(60/C6))-(60/C6*C10))/(C9*C8))))/C8+C5*C9-F207,C7+(IF(MOD((176/80*(60/C6)),(60/C6))&lt;(60/C6*C10),MIN(C5*MOD((176/80*(60/C6)),(60/C6)),C4),C4*EXP(-(MOD((176/80*(60/C6)),(60/C6))-(60/C6*C10))/(C9*C8))))/C8)</f>
        <v/>
      </c>
      <c r="D207" s="25">
        <f>IF(MOD((176/80*(60/C6)),(60/C6))&lt;(60/C6*C10),C5*60,-(IF(MOD((176/80*(60/C6)),(60/C6))&lt;(60/C6*C10),MIN(C5*MOD((176/80*(60/C6)),(60/C6)),C4),C4*EXP(-(MOD((176/80*(60/C6)),(60/C6))-(60/C6*C10))/(C9*C8))))/(C9*C8)*60)</f>
        <v/>
      </c>
      <c r="E207" s="26">
        <f>(IF(MOD((176/80*(60/C6)),(60/C6))&lt;(60/C6*C10),MIN(C5*MOD((176/80*(60/C6)),(60/C6)),C4),C4*EXP(-(MOD((176/80*(60/C6)),(60/C6))-(60/C6*C10))/(C9*C8))))*1000</f>
        <v/>
      </c>
      <c r="F207" s="25">
        <f>IF(AND(MOD((176/80*(60/C6)),(60/C6))&lt;(60/C6*C10),MOD((176/80*(60/C6)),(60/C6))&lt;C13),-ABS(C12)*SIN(PI()*MOD((176/80*(60/C6)),(60/C6))/C13),0)</f>
        <v/>
      </c>
      <c r="G207" s="25">
        <f>C7*(C11/(C8+C11))+(E207/1000)/C11+F207</f>
        <v/>
      </c>
      <c r="H207" s="25">
        <f>C207-G207</f>
        <v/>
      </c>
      <c r="I207" s="25">
        <f>C7+(E207/1000)/C8</f>
        <v/>
      </c>
    </row>
    <row r="208" ht="12.95" customHeight="1" s="44">
      <c r="B208" s="27">
        <f>(177/80*(60/C6))</f>
        <v/>
      </c>
      <c r="C208" s="27">
        <f>IF(MOD((177/80*(60/C6)),(60/C6))&lt;(60/C6*C10),C7+(IF(MOD((177/80*(60/C6)),(60/C6))&lt;(60/C6*C10),MIN(C5*MOD((177/80*(60/C6)),(60/C6)),C4),C4*EXP(-(MOD((177/80*(60/C6)),(60/C6))-(60/C6*C10))/(C9*C8))))/C8+C5*C9-F208,C7+(IF(MOD((177/80*(60/C6)),(60/C6))&lt;(60/C6*C10),MIN(C5*MOD((177/80*(60/C6)),(60/C6)),C4),C4*EXP(-(MOD((177/80*(60/C6)),(60/C6))-(60/C6*C10))/(C9*C8))))/C8)</f>
        <v/>
      </c>
      <c r="D208" s="27">
        <f>IF(MOD((177/80*(60/C6)),(60/C6))&lt;(60/C6*C10),C5*60,-(IF(MOD((177/80*(60/C6)),(60/C6))&lt;(60/C6*C10),MIN(C5*MOD((177/80*(60/C6)),(60/C6)),C4),C4*EXP(-(MOD((177/80*(60/C6)),(60/C6))-(60/C6*C10))/(C9*C8))))/(C9*C8)*60)</f>
        <v/>
      </c>
      <c r="E208" s="28">
        <f>(IF(MOD((177/80*(60/C6)),(60/C6))&lt;(60/C6*C10),MIN(C5*MOD((177/80*(60/C6)),(60/C6)),C4),C4*EXP(-(MOD((177/80*(60/C6)),(60/C6))-(60/C6*C10))/(C9*C8))))*1000</f>
        <v/>
      </c>
      <c r="F208" s="27">
        <f>IF(AND(MOD((177/80*(60/C6)),(60/C6))&lt;(60/C6*C10),MOD((177/80*(60/C6)),(60/C6))&lt;C13),-ABS(C12)*SIN(PI()*MOD((177/80*(60/C6)),(60/C6))/C13),0)</f>
        <v/>
      </c>
      <c r="G208" s="27">
        <f>C7*(C11/(C8+C11))+(E208/1000)/C11+F208</f>
        <v/>
      </c>
      <c r="H208" s="27">
        <f>C208-G208</f>
        <v/>
      </c>
      <c r="I208" s="27">
        <f>C7+(E208/1000)/C8</f>
        <v/>
      </c>
    </row>
    <row r="209" ht="12.95" customHeight="1" s="44">
      <c r="B209" s="25">
        <f>(178/80*(60/C6))</f>
        <v/>
      </c>
      <c r="C209" s="25">
        <f>IF(MOD((178/80*(60/C6)),(60/C6))&lt;(60/C6*C10),C7+(IF(MOD((178/80*(60/C6)),(60/C6))&lt;(60/C6*C10),MIN(C5*MOD((178/80*(60/C6)),(60/C6)),C4),C4*EXP(-(MOD((178/80*(60/C6)),(60/C6))-(60/C6*C10))/(C9*C8))))/C8+C5*C9-F209,C7+(IF(MOD((178/80*(60/C6)),(60/C6))&lt;(60/C6*C10),MIN(C5*MOD((178/80*(60/C6)),(60/C6)),C4),C4*EXP(-(MOD((178/80*(60/C6)),(60/C6))-(60/C6*C10))/(C9*C8))))/C8)</f>
        <v/>
      </c>
      <c r="D209" s="25">
        <f>IF(MOD((178/80*(60/C6)),(60/C6))&lt;(60/C6*C10),C5*60,-(IF(MOD((178/80*(60/C6)),(60/C6))&lt;(60/C6*C10),MIN(C5*MOD((178/80*(60/C6)),(60/C6)),C4),C4*EXP(-(MOD((178/80*(60/C6)),(60/C6))-(60/C6*C10))/(C9*C8))))/(C9*C8)*60)</f>
        <v/>
      </c>
      <c r="E209" s="26">
        <f>(IF(MOD((178/80*(60/C6)),(60/C6))&lt;(60/C6*C10),MIN(C5*MOD((178/80*(60/C6)),(60/C6)),C4),C4*EXP(-(MOD((178/80*(60/C6)),(60/C6))-(60/C6*C10))/(C9*C8))))*1000</f>
        <v/>
      </c>
      <c r="F209" s="25">
        <f>IF(AND(MOD((178/80*(60/C6)),(60/C6))&lt;(60/C6*C10),MOD((178/80*(60/C6)),(60/C6))&lt;C13),-ABS(C12)*SIN(PI()*MOD((178/80*(60/C6)),(60/C6))/C13),0)</f>
        <v/>
      </c>
      <c r="G209" s="25">
        <f>C7*(C11/(C8+C11))+(E209/1000)/C11+F209</f>
        <v/>
      </c>
      <c r="H209" s="25">
        <f>C209-G209</f>
        <v/>
      </c>
      <c r="I209" s="25">
        <f>C7+(E209/1000)/C8</f>
        <v/>
      </c>
    </row>
    <row r="210" ht="12.95" customHeight="1" s="44">
      <c r="B210" s="27">
        <f>(179/80*(60/C6))</f>
        <v/>
      </c>
      <c r="C210" s="27">
        <f>IF(MOD((179/80*(60/C6)),(60/C6))&lt;(60/C6*C10),C7+(IF(MOD((179/80*(60/C6)),(60/C6))&lt;(60/C6*C10),MIN(C5*MOD((179/80*(60/C6)),(60/C6)),C4),C4*EXP(-(MOD((179/80*(60/C6)),(60/C6))-(60/C6*C10))/(C9*C8))))/C8+C5*C9-F210,C7+(IF(MOD((179/80*(60/C6)),(60/C6))&lt;(60/C6*C10),MIN(C5*MOD((179/80*(60/C6)),(60/C6)),C4),C4*EXP(-(MOD((179/80*(60/C6)),(60/C6))-(60/C6*C10))/(C9*C8))))/C8)</f>
        <v/>
      </c>
      <c r="D210" s="27">
        <f>IF(MOD((179/80*(60/C6)),(60/C6))&lt;(60/C6*C10),C5*60,-(IF(MOD((179/80*(60/C6)),(60/C6))&lt;(60/C6*C10),MIN(C5*MOD((179/80*(60/C6)),(60/C6)),C4),C4*EXP(-(MOD((179/80*(60/C6)),(60/C6))-(60/C6*C10))/(C9*C8))))/(C9*C8)*60)</f>
        <v/>
      </c>
      <c r="E210" s="28">
        <f>(IF(MOD((179/80*(60/C6)),(60/C6))&lt;(60/C6*C10),MIN(C5*MOD((179/80*(60/C6)),(60/C6)),C4),C4*EXP(-(MOD((179/80*(60/C6)),(60/C6))-(60/C6*C10))/(C9*C8))))*1000</f>
        <v/>
      </c>
      <c r="F210" s="27">
        <f>IF(AND(MOD((179/80*(60/C6)),(60/C6))&lt;(60/C6*C10),MOD((179/80*(60/C6)),(60/C6))&lt;C13),-ABS(C12)*SIN(PI()*MOD((179/80*(60/C6)),(60/C6))/C13),0)</f>
        <v/>
      </c>
      <c r="G210" s="27">
        <f>C7*(C11/(C8+C11))+(E210/1000)/C11+F210</f>
        <v/>
      </c>
      <c r="H210" s="27">
        <f>C210-G210</f>
        <v/>
      </c>
      <c r="I210" s="27">
        <f>C7+(E210/1000)/C8</f>
        <v/>
      </c>
    </row>
    <row r="211" ht="12.95" customHeight="1" s="44">
      <c r="B211" s="25">
        <f>(180/80*(60/C6))</f>
        <v/>
      </c>
      <c r="C211" s="25">
        <f>IF(MOD((180/80*(60/C6)),(60/C6))&lt;(60/C6*C10),C7+(IF(MOD((180/80*(60/C6)),(60/C6))&lt;(60/C6*C10),MIN(C5*MOD((180/80*(60/C6)),(60/C6)),C4),C4*EXP(-(MOD((180/80*(60/C6)),(60/C6))-(60/C6*C10))/(C9*C8))))/C8+C5*C9-F211,C7+(IF(MOD((180/80*(60/C6)),(60/C6))&lt;(60/C6*C10),MIN(C5*MOD((180/80*(60/C6)),(60/C6)),C4),C4*EXP(-(MOD((180/80*(60/C6)),(60/C6))-(60/C6*C10))/(C9*C8))))/C8)</f>
        <v/>
      </c>
      <c r="D211" s="25">
        <f>IF(MOD((180/80*(60/C6)),(60/C6))&lt;(60/C6*C10),C5*60,-(IF(MOD((180/80*(60/C6)),(60/C6))&lt;(60/C6*C10),MIN(C5*MOD((180/80*(60/C6)),(60/C6)),C4),C4*EXP(-(MOD((180/80*(60/C6)),(60/C6))-(60/C6*C10))/(C9*C8))))/(C9*C8)*60)</f>
        <v/>
      </c>
      <c r="E211" s="26">
        <f>(IF(MOD((180/80*(60/C6)),(60/C6))&lt;(60/C6*C10),MIN(C5*MOD((180/80*(60/C6)),(60/C6)),C4),C4*EXP(-(MOD((180/80*(60/C6)),(60/C6))-(60/C6*C10))/(C9*C8))))*1000</f>
        <v/>
      </c>
      <c r="F211" s="25">
        <f>IF(AND(MOD((180/80*(60/C6)),(60/C6))&lt;(60/C6*C10),MOD((180/80*(60/C6)),(60/C6))&lt;C13),-ABS(C12)*SIN(PI()*MOD((180/80*(60/C6)),(60/C6))/C13),0)</f>
        <v/>
      </c>
      <c r="G211" s="25">
        <f>C7*(C11/(C8+C11))+(E211/1000)/C11+F211</f>
        <v/>
      </c>
      <c r="H211" s="25">
        <f>C211-G211</f>
        <v/>
      </c>
      <c r="I211" s="25">
        <f>C7+(E211/1000)/C8</f>
        <v/>
      </c>
    </row>
    <row r="212" ht="12.95" customHeight="1" s="44">
      <c r="B212" s="27">
        <f>(181/80*(60/C6))</f>
        <v/>
      </c>
      <c r="C212" s="27">
        <f>IF(MOD((181/80*(60/C6)),(60/C6))&lt;(60/C6*C10),C7+(IF(MOD((181/80*(60/C6)),(60/C6))&lt;(60/C6*C10),MIN(C5*MOD((181/80*(60/C6)),(60/C6)),C4),C4*EXP(-(MOD((181/80*(60/C6)),(60/C6))-(60/C6*C10))/(C9*C8))))/C8+C5*C9-F212,C7+(IF(MOD((181/80*(60/C6)),(60/C6))&lt;(60/C6*C10),MIN(C5*MOD((181/80*(60/C6)),(60/C6)),C4),C4*EXP(-(MOD((181/80*(60/C6)),(60/C6))-(60/C6*C10))/(C9*C8))))/C8)</f>
        <v/>
      </c>
      <c r="D212" s="27">
        <f>IF(MOD((181/80*(60/C6)),(60/C6))&lt;(60/C6*C10),C5*60,-(IF(MOD((181/80*(60/C6)),(60/C6))&lt;(60/C6*C10),MIN(C5*MOD((181/80*(60/C6)),(60/C6)),C4),C4*EXP(-(MOD((181/80*(60/C6)),(60/C6))-(60/C6*C10))/(C9*C8))))/(C9*C8)*60)</f>
        <v/>
      </c>
      <c r="E212" s="28">
        <f>(IF(MOD((181/80*(60/C6)),(60/C6))&lt;(60/C6*C10),MIN(C5*MOD((181/80*(60/C6)),(60/C6)),C4),C4*EXP(-(MOD((181/80*(60/C6)),(60/C6))-(60/C6*C10))/(C9*C8))))*1000</f>
        <v/>
      </c>
      <c r="F212" s="27">
        <f>IF(AND(MOD((181/80*(60/C6)),(60/C6))&lt;(60/C6*C10),MOD((181/80*(60/C6)),(60/C6))&lt;C13),-ABS(C12)*SIN(PI()*MOD((181/80*(60/C6)),(60/C6))/C13),0)</f>
        <v/>
      </c>
      <c r="G212" s="27">
        <f>C7*(C11/(C8+C11))+(E212/1000)/C11+F212</f>
        <v/>
      </c>
      <c r="H212" s="27">
        <f>C212-G212</f>
        <v/>
      </c>
      <c r="I212" s="27">
        <f>C7+(E212/1000)/C8</f>
        <v/>
      </c>
    </row>
    <row r="213" ht="12.95" customHeight="1" s="44">
      <c r="B213" s="25">
        <f>(182/80*(60/C6))</f>
        <v/>
      </c>
      <c r="C213" s="25">
        <f>IF(MOD((182/80*(60/C6)),(60/C6))&lt;(60/C6*C10),C7+(IF(MOD((182/80*(60/C6)),(60/C6))&lt;(60/C6*C10),MIN(C5*MOD((182/80*(60/C6)),(60/C6)),C4),C4*EXP(-(MOD((182/80*(60/C6)),(60/C6))-(60/C6*C10))/(C9*C8))))/C8+C5*C9-F213,C7+(IF(MOD((182/80*(60/C6)),(60/C6))&lt;(60/C6*C10),MIN(C5*MOD((182/80*(60/C6)),(60/C6)),C4),C4*EXP(-(MOD((182/80*(60/C6)),(60/C6))-(60/C6*C10))/(C9*C8))))/C8)</f>
        <v/>
      </c>
      <c r="D213" s="25">
        <f>IF(MOD((182/80*(60/C6)),(60/C6))&lt;(60/C6*C10),C5*60,-(IF(MOD((182/80*(60/C6)),(60/C6))&lt;(60/C6*C10),MIN(C5*MOD((182/80*(60/C6)),(60/C6)),C4),C4*EXP(-(MOD((182/80*(60/C6)),(60/C6))-(60/C6*C10))/(C9*C8))))/(C9*C8)*60)</f>
        <v/>
      </c>
      <c r="E213" s="26">
        <f>(IF(MOD((182/80*(60/C6)),(60/C6))&lt;(60/C6*C10),MIN(C5*MOD((182/80*(60/C6)),(60/C6)),C4),C4*EXP(-(MOD((182/80*(60/C6)),(60/C6))-(60/C6*C10))/(C9*C8))))*1000</f>
        <v/>
      </c>
      <c r="F213" s="25">
        <f>IF(AND(MOD((182/80*(60/C6)),(60/C6))&lt;(60/C6*C10),MOD((182/80*(60/C6)),(60/C6))&lt;C13),-ABS(C12)*SIN(PI()*MOD((182/80*(60/C6)),(60/C6))/C13),0)</f>
        <v/>
      </c>
      <c r="G213" s="25">
        <f>C7*(C11/(C8+C11))+(E213/1000)/C11+F213</f>
        <v/>
      </c>
      <c r="H213" s="25">
        <f>C213-G213</f>
        <v/>
      </c>
      <c r="I213" s="25">
        <f>C7+(E213/1000)/C8</f>
        <v/>
      </c>
    </row>
    <row r="214" ht="12.95" customHeight="1" s="44">
      <c r="B214" s="27">
        <f>(183/80*(60/C6))</f>
        <v/>
      </c>
      <c r="C214" s="27">
        <f>IF(MOD((183/80*(60/C6)),(60/C6))&lt;(60/C6*C10),C7+(IF(MOD((183/80*(60/C6)),(60/C6))&lt;(60/C6*C10),MIN(C5*MOD((183/80*(60/C6)),(60/C6)),C4),C4*EXP(-(MOD((183/80*(60/C6)),(60/C6))-(60/C6*C10))/(C9*C8))))/C8+C5*C9-F214,C7+(IF(MOD((183/80*(60/C6)),(60/C6))&lt;(60/C6*C10),MIN(C5*MOD((183/80*(60/C6)),(60/C6)),C4),C4*EXP(-(MOD((183/80*(60/C6)),(60/C6))-(60/C6*C10))/(C9*C8))))/C8)</f>
        <v/>
      </c>
      <c r="D214" s="27">
        <f>IF(MOD((183/80*(60/C6)),(60/C6))&lt;(60/C6*C10),C5*60,-(IF(MOD((183/80*(60/C6)),(60/C6))&lt;(60/C6*C10),MIN(C5*MOD((183/80*(60/C6)),(60/C6)),C4),C4*EXP(-(MOD((183/80*(60/C6)),(60/C6))-(60/C6*C10))/(C9*C8))))/(C9*C8)*60)</f>
        <v/>
      </c>
      <c r="E214" s="28">
        <f>(IF(MOD((183/80*(60/C6)),(60/C6))&lt;(60/C6*C10),MIN(C5*MOD((183/80*(60/C6)),(60/C6)),C4),C4*EXP(-(MOD((183/80*(60/C6)),(60/C6))-(60/C6*C10))/(C9*C8))))*1000</f>
        <v/>
      </c>
      <c r="F214" s="27">
        <f>IF(AND(MOD((183/80*(60/C6)),(60/C6))&lt;(60/C6*C10),MOD((183/80*(60/C6)),(60/C6))&lt;C13),-ABS(C12)*SIN(PI()*MOD((183/80*(60/C6)),(60/C6))/C13),0)</f>
        <v/>
      </c>
      <c r="G214" s="27">
        <f>C7*(C11/(C8+C11))+(E214/1000)/C11+F214</f>
        <v/>
      </c>
      <c r="H214" s="27">
        <f>C214-G214</f>
        <v/>
      </c>
      <c r="I214" s="27">
        <f>C7+(E214/1000)/C8</f>
        <v/>
      </c>
    </row>
    <row r="215" ht="12.95" customHeight="1" s="44">
      <c r="B215" s="25">
        <f>(184/80*(60/C6))</f>
        <v/>
      </c>
      <c r="C215" s="25">
        <f>IF(MOD((184/80*(60/C6)),(60/C6))&lt;(60/C6*C10),C7+(IF(MOD((184/80*(60/C6)),(60/C6))&lt;(60/C6*C10),MIN(C5*MOD((184/80*(60/C6)),(60/C6)),C4),C4*EXP(-(MOD((184/80*(60/C6)),(60/C6))-(60/C6*C10))/(C9*C8))))/C8+C5*C9-F215,C7+(IF(MOD((184/80*(60/C6)),(60/C6))&lt;(60/C6*C10),MIN(C5*MOD((184/80*(60/C6)),(60/C6)),C4),C4*EXP(-(MOD((184/80*(60/C6)),(60/C6))-(60/C6*C10))/(C9*C8))))/C8)</f>
        <v/>
      </c>
      <c r="D215" s="25">
        <f>IF(MOD((184/80*(60/C6)),(60/C6))&lt;(60/C6*C10),C5*60,-(IF(MOD((184/80*(60/C6)),(60/C6))&lt;(60/C6*C10),MIN(C5*MOD((184/80*(60/C6)),(60/C6)),C4),C4*EXP(-(MOD((184/80*(60/C6)),(60/C6))-(60/C6*C10))/(C9*C8))))/(C9*C8)*60)</f>
        <v/>
      </c>
      <c r="E215" s="26">
        <f>(IF(MOD((184/80*(60/C6)),(60/C6))&lt;(60/C6*C10),MIN(C5*MOD((184/80*(60/C6)),(60/C6)),C4),C4*EXP(-(MOD((184/80*(60/C6)),(60/C6))-(60/C6*C10))/(C9*C8))))*1000</f>
        <v/>
      </c>
      <c r="F215" s="25">
        <f>IF(AND(MOD((184/80*(60/C6)),(60/C6))&lt;(60/C6*C10),MOD((184/80*(60/C6)),(60/C6))&lt;C13),-ABS(C12)*SIN(PI()*MOD((184/80*(60/C6)),(60/C6))/C13),0)</f>
        <v/>
      </c>
      <c r="G215" s="25">
        <f>C7*(C11/(C8+C11))+(E215/1000)/C11+F215</f>
        <v/>
      </c>
      <c r="H215" s="25">
        <f>C215-G215</f>
        <v/>
      </c>
      <c r="I215" s="25">
        <f>C7+(E215/1000)/C8</f>
        <v/>
      </c>
    </row>
    <row r="216" ht="12.95" customHeight="1" s="44">
      <c r="B216" s="27">
        <f>(185/80*(60/C6))</f>
        <v/>
      </c>
      <c r="C216" s="27">
        <f>IF(MOD((185/80*(60/C6)),(60/C6))&lt;(60/C6*C10),C7+(IF(MOD((185/80*(60/C6)),(60/C6))&lt;(60/C6*C10),MIN(C5*MOD((185/80*(60/C6)),(60/C6)),C4),C4*EXP(-(MOD((185/80*(60/C6)),(60/C6))-(60/C6*C10))/(C9*C8))))/C8+C5*C9-F216,C7+(IF(MOD((185/80*(60/C6)),(60/C6))&lt;(60/C6*C10),MIN(C5*MOD((185/80*(60/C6)),(60/C6)),C4),C4*EXP(-(MOD((185/80*(60/C6)),(60/C6))-(60/C6*C10))/(C9*C8))))/C8)</f>
        <v/>
      </c>
      <c r="D216" s="27">
        <f>IF(MOD((185/80*(60/C6)),(60/C6))&lt;(60/C6*C10),C5*60,-(IF(MOD((185/80*(60/C6)),(60/C6))&lt;(60/C6*C10),MIN(C5*MOD((185/80*(60/C6)),(60/C6)),C4),C4*EXP(-(MOD((185/80*(60/C6)),(60/C6))-(60/C6*C10))/(C9*C8))))/(C9*C8)*60)</f>
        <v/>
      </c>
      <c r="E216" s="28">
        <f>(IF(MOD((185/80*(60/C6)),(60/C6))&lt;(60/C6*C10),MIN(C5*MOD((185/80*(60/C6)),(60/C6)),C4),C4*EXP(-(MOD((185/80*(60/C6)),(60/C6))-(60/C6*C10))/(C9*C8))))*1000</f>
        <v/>
      </c>
      <c r="F216" s="27">
        <f>IF(AND(MOD((185/80*(60/C6)),(60/C6))&lt;(60/C6*C10),MOD((185/80*(60/C6)),(60/C6))&lt;C13),-ABS(C12)*SIN(PI()*MOD((185/80*(60/C6)),(60/C6))/C13),0)</f>
        <v/>
      </c>
      <c r="G216" s="27">
        <f>C7*(C11/(C8+C11))+(E216/1000)/C11+F216</f>
        <v/>
      </c>
      <c r="H216" s="27">
        <f>C216-G216</f>
        <v/>
      </c>
      <c r="I216" s="27">
        <f>C7+(E216/1000)/C8</f>
        <v/>
      </c>
    </row>
    <row r="217" ht="12.95" customHeight="1" s="44">
      <c r="B217" s="25">
        <f>(186/80*(60/C6))</f>
        <v/>
      </c>
      <c r="C217" s="25">
        <f>IF(MOD((186/80*(60/C6)),(60/C6))&lt;(60/C6*C10),C7+(IF(MOD((186/80*(60/C6)),(60/C6))&lt;(60/C6*C10),MIN(C5*MOD((186/80*(60/C6)),(60/C6)),C4),C4*EXP(-(MOD((186/80*(60/C6)),(60/C6))-(60/C6*C10))/(C9*C8))))/C8+C5*C9-F217,C7+(IF(MOD((186/80*(60/C6)),(60/C6))&lt;(60/C6*C10),MIN(C5*MOD((186/80*(60/C6)),(60/C6)),C4),C4*EXP(-(MOD((186/80*(60/C6)),(60/C6))-(60/C6*C10))/(C9*C8))))/C8)</f>
        <v/>
      </c>
      <c r="D217" s="25">
        <f>IF(MOD((186/80*(60/C6)),(60/C6))&lt;(60/C6*C10),C5*60,-(IF(MOD((186/80*(60/C6)),(60/C6))&lt;(60/C6*C10),MIN(C5*MOD((186/80*(60/C6)),(60/C6)),C4),C4*EXP(-(MOD((186/80*(60/C6)),(60/C6))-(60/C6*C10))/(C9*C8))))/(C9*C8)*60)</f>
        <v/>
      </c>
      <c r="E217" s="26">
        <f>(IF(MOD((186/80*(60/C6)),(60/C6))&lt;(60/C6*C10),MIN(C5*MOD((186/80*(60/C6)),(60/C6)),C4),C4*EXP(-(MOD((186/80*(60/C6)),(60/C6))-(60/C6*C10))/(C9*C8))))*1000</f>
        <v/>
      </c>
      <c r="F217" s="25">
        <f>IF(AND(MOD((186/80*(60/C6)),(60/C6))&lt;(60/C6*C10),MOD((186/80*(60/C6)),(60/C6))&lt;C13),-ABS(C12)*SIN(PI()*MOD((186/80*(60/C6)),(60/C6))/C13),0)</f>
        <v/>
      </c>
      <c r="G217" s="25">
        <f>C7*(C11/(C8+C11))+(E217/1000)/C11+F217</f>
        <v/>
      </c>
      <c r="H217" s="25">
        <f>C217-G217</f>
        <v/>
      </c>
      <c r="I217" s="25">
        <f>C7+(E217/1000)/C8</f>
        <v/>
      </c>
    </row>
    <row r="218" ht="12.95" customHeight="1" s="44">
      <c r="B218" s="27">
        <f>(187/80*(60/C6))</f>
        <v/>
      </c>
      <c r="C218" s="27">
        <f>IF(MOD((187/80*(60/C6)),(60/C6))&lt;(60/C6*C10),C7+(IF(MOD((187/80*(60/C6)),(60/C6))&lt;(60/C6*C10),MIN(C5*MOD((187/80*(60/C6)),(60/C6)),C4),C4*EXP(-(MOD((187/80*(60/C6)),(60/C6))-(60/C6*C10))/(C9*C8))))/C8+C5*C9-F218,C7+(IF(MOD((187/80*(60/C6)),(60/C6))&lt;(60/C6*C10),MIN(C5*MOD((187/80*(60/C6)),(60/C6)),C4),C4*EXP(-(MOD((187/80*(60/C6)),(60/C6))-(60/C6*C10))/(C9*C8))))/C8)</f>
        <v/>
      </c>
      <c r="D218" s="27">
        <f>IF(MOD((187/80*(60/C6)),(60/C6))&lt;(60/C6*C10),C5*60,-(IF(MOD((187/80*(60/C6)),(60/C6))&lt;(60/C6*C10),MIN(C5*MOD((187/80*(60/C6)),(60/C6)),C4),C4*EXP(-(MOD((187/80*(60/C6)),(60/C6))-(60/C6*C10))/(C9*C8))))/(C9*C8)*60)</f>
        <v/>
      </c>
      <c r="E218" s="28">
        <f>(IF(MOD((187/80*(60/C6)),(60/C6))&lt;(60/C6*C10),MIN(C5*MOD((187/80*(60/C6)),(60/C6)),C4),C4*EXP(-(MOD((187/80*(60/C6)),(60/C6))-(60/C6*C10))/(C9*C8))))*1000</f>
        <v/>
      </c>
      <c r="F218" s="27">
        <f>IF(AND(MOD((187/80*(60/C6)),(60/C6))&lt;(60/C6*C10),MOD((187/80*(60/C6)),(60/C6))&lt;C13),-ABS(C12)*SIN(PI()*MOD((187/80*(60/C6)),(60/C6))/C13),0)</f>
        <v/>
      </c>
      <c r="G218" s="27">
        <f>C7*(C11/(C8+C11))+(E218/1000)/C11+F218</f>
        <v/>
      </c>
      <c r="H218" s="27">
        <f>C218-G218</f>
        <v/>
      </c>
      <c r="I218" s="27">
        <f>C7+(E218/1000)/C8</f>
        <v/>
      </c>
    </row>
    <row r="219" ht="12.95" customHeight="1" s="44">
      <c r="B219" s="25">
        <f>(188/80*(60/C6))</f>
        <v/>
      </c>
      <c r="C219" s="25">
        <f>IF(MOD((188/80*(60/C6)),(60/C6))&lt;(60/C6*C10),C7+(IF(MOD((188/80*(60/C6)),(60/C6))&lt;(60/C6*C10),MIN(C5*MOD((188/80*(60/C6)),(60/C6)),C4),C4*EXP(-(MOD((188/80*(60/C6)),(60/C6))-(60/C6*C10))/(C9*C8))))/C8+C5*C9-F219,C7+(IF(MOD((188/80*(60/C6)),(60/C6))&lt;(60/C6*C10),MIN(C5*MOD((188/80*(60/C6)),(60/C6)),C4),C4*EXP(-(MOD((188/80*(60/C6)),(60/C6))-(60/C6*C10))/(C9*C8))))/C8)</f>
        <v/>
      </c>
      <c r="D219" s="25">
        <f>IF(MOD((188/80*(60/C6)),(60/C6))&lt;(60/C6*C10),C5*60,-(IF(MOD((188/80*(60/C6)),(60/C6))&lt;(60/C6*C10),MIN(C5*MOD((188/80*(60/C6)),(60/C6)),C4),C4*EXP(-(MOD((188/80*(60/C6)),(60/C6))-(60/C6*C10))/(C9*C8))))/(C9*C8)*60)</f>
        <v/>
      </c>
      <c r="E219" s="26">
        <f>(IF(MOD((188/80*(60/C6)),(60/C6))&lt;(60/C6*C10),MIN(C5*MOD((188/80*(60/C6)),(60/C6)),C4),C4*EXP(-(MOD((188/80*(60/C6)),(60/C6))-(60/C6*C10))/(C9*C8))))*1000</f>
        <v/>
      </c>
      <c r="F219" s="25">
        <f>IF(AND(MOD((188/80*(60/C6)),(60/C6))&lt;(60/C6*C10),MOD((188/80*(60/C6)),(60/C6))&lt;C13),-ABS(C12)*SIN(PI()*MOD((188/80*(60/C6)),(60/C6))/C13),0)</f>
        <v/>
      </c>
      <c r="G219" s="25">
        <f>C7*(C11/(C8+C11))+(E219/1000)/C11+F219</f>
        <v/>
      </c>
      <c r="H219" s="25">
        <f>C219-G219</f>
        <v/>
      </c>
      <c r="I219" s="25">
        <f>C7+(E219/1000)/C8</f>
        <v/>
      </c>
    </row>
    <row r="220" ht="12.95" customHeight="1" s="44">
      <c r="B220" s="27">
        <f>(189/80*(60/C6))</f>
        <v/>
      </c>
      <c r="C220" s="27">
        <f>IF(MOD((189/80*(60/C6)),(60/C6))&lt;(60/C6*C10),C7+(IF(MOD((189/80*(60/C6)),(60/C6))&lt;(60/C6*C10),MIN(C5*MOD((189/80*(60/C6)),(60/C6)),C4),C4*EXP(-(MOD((189/80*(60/C6)),(60/C6))-(60/C6*C10))/(C9*C8))))/C8+C5*C9-F220,C7+(IF(MOD((189/80*(60/C6)),(60/C6))&lt;(60/C6*C10),MIN(C5*MOD((189/80*(60/C6)),(60/C6)),C4),C4*EXP(-(MOD((189/80*(60/C6)),(60/C6))-(60/C6*C10))/(C9*C8))))/C8)</f>
        <v/>
      </c>
      <c r="D220" s="27">
        <f>IF(MOD((189/80*(60/C6)),(60/C6))&lt;(60/C6*C10),C5*60,-(IF(MOD((189/80*(60/C6)),(60/C6))&lt;(60/C6*C10),MIN(C5*MOD((189/80*(60/C6)),(60/C6)),C4),C4*EXP(-(MOD((189/80*(60/C6)),(60/C6))-(60/C6*C10))/(C9*C8))))/(C9*C8)*60)</f>
        <v/>
      </c>
      <c r="E220" s="28">
        <f>(IF(MOD((189/80*(60/C6)),(60/C6))&lt;(60/C6*C10),MIN(C5*MOD((189/80*(60/C6)),(60/C6)),C4),C4*EXP(-(MOD((189/80*(60/C6)),(60/C6))-(60/C6*C10))/(C9*C8))))*1000</f>
        <v/>
      </c>
      <c r="F220" s="27">
        <f>IF(AND(MOD((189/80*(60/C6)),(60/C6))&lt;(60/C6*C10),MOD((189/80*(60/C6)),(60/C6))&lt;C13),-ABS(C12)*SIN(PI()*MOD((189/80*(60/C6)),(60/C6))/C13),0)</f>
        <v/>
      </c>
      <c r="G220" s="27">
        <f>C7*(C11/(C8+C11))+(E220/1000)/C11+F220</f>
        <v/>
      </c>
      <c r="H220" s="27">
        <f>C220-G220</f>
        <v/>
      </c>
      <c r="I220" s="27">
        <f>C7+(E220/1000)/C8</f>
        <v/>
      </c>
    </row>
    <row r="221" ht="12.95" customHeight="1" s="44">
      <c r="B221" s="25">
        <f>(190/80*(60/C6))</f>
        <v/>
      </c>
      <c r="C221" s="25">
        <f>IF(MOD((190/80*(60/C6)),(60/C6))&lt;(60/C6*C10),C7+(IF(MOD((190/80*(60/C6)),(60/C6))&lt;(60/C6*C10),MIN(C5*MOD((190/80*(60/C6)),(60/C6)),C4),C4*EXP(-(MOD((190/80*(60/C6)),(60/C6))-(60/C6*C10))/(C9*C8))))/C8+C5*C9-F221,C7+(IF(MOD((190/80*(60/C6)),(60/C6))&lt;(60/C6*C10),MIN(C5*MOD((190/80*(60/C6)),(60/C6)),C4),C4*EXP(-(MOD((190/80*(60/C6)),(60/C6))-(60/C6*C10))/(C9*C8))))/C8)</f>
        <v/>
      </c>
      <c r="D221" s="25">
        <f>IF(MOD((190/80*(60/C6)),(60/C6))&lt;(60/C6*C10),C5*60,-(IF(MOD((190/80*(60/C6)),(60/C6))&lt;(60/C6*C10),MIN(C5*MOD((190/80*(60/C6)),(60/C6)),C4),C4*EXP(-(MOD((190/80*(60/C6)),(60/C6))-(60/C6*C10))/(C9*C8))))/(C9*C8)*60)</f>
        <v/>
      </c>
      <c r="E221" s="26">
        <f>(IF(MOD((190/80*(60/C6)),(60/C6))&lt;(60/C6*C10),MIN(C5*MOD((190/80*(60/C6)),(60/C6)),C4),C4*EXP(-(MOD((190/80*(60/C6)),(60/C6))-(60/C6*C10))/(C9*C8))))*1000</f>
        <v/>
      </c>
      <c r="F221" s="25">
        <f>IF(AND(MOD((190/80*(60/C6)),(60/C6))&lt;(60/C6*C10),MOD((190/80*(60/C6)),(60/C6))&lt;C13),-ABS(C12)*SIN(PI()*MOD((190/80*(60/C6)),(60/C6))/C13),0)</f>
        <v/>
      </c>
      <c r="G221" s="25">
        <f>C7*(C11/(C8+C11))+(E221/1000)/C11+F221</f>
        <v/>
      </c>
      <c r="H221" s="25">
        <f>C221-G221</f>
        <v/>
      </c>
      <c r="I221" s="25">
        <f>C7+(E221/1000)/C8</f>
        <v/>
      </c>
    </row>
    <row r="222" ht="12.95" customHeight="1" s="44">
      <c r="B222" s="27">
        <f>(191/80*(60/C6))</f>
        <v/>
      </c>
      <c r="C222" s="27">
        <f>IF(MOD((191/80*(60/C6)),(60/C6))&lt;(60/C6*C10),C7+(IF(MOD((191/80*(60/C6)),(60/C6))&lt;(60/C6*C10),MIN(C5*MOD((191/80*(60/C6)),(60/C6)),C4),C4*EXP(-(MOD((191/80*(60/C6)),(60/C6))-(60/C6*C10))/(C9*C8))))/C8+C5*C9-F222,C7+(IF(MOD((191/80*(60/C6)),(60/C6))&lt;(60/C6*C10),MIN(C5*MOD((191/80*(60/C6)),(60/C6)),C4),C4*EXP(-(MOD((191/80*(60/C6)),(60/C6))-(60/C6*C10))/(C9*C8))))/C8)</f>
        <v/>
      </c>
      <c r="D222" s="27">
        <f>IF(MOD((191/80*(60/C6)),(60/C6))&lt;(60/C6*C10),C5*60,-(IF(MOD((191/80*(60/C6)),(60/C6))&lt;(60/C6*C10),MIN(C5*MOD((191/80*(60/C6)),(60/C6)),C4),C4*EXP(-(MOD((191/80*(60/C6)),(60/C6))-(60/C6*C10))/(C9*C8))))/(C9*C8)*60)</f>
        <v/>
      </c>
      <c r="E222" s="28">
        <f>(IF(MOD((191/80*(60/C6)),(60/C6))&lt;(60/C6*C10),MIN(C5*MOD((191/80*(60/C6)),(60/C6)),C4),C4*EXP(-(MOD((191/80*(60/C6)),(60/C6))-(60/C6*C10))/(C9*C8))))*1000</f>
        <v/>
      </c>
      <c r="F222" s="27">
        <f>IF(AND(MOD((191/80*(60/C6)),(60/C6))&lt;(60/C6*C10),MOD((191/80*(60/C6)),(60/C6))&lt;C13),-ABS(C12)*SIN(PI()*MOD((191/80*(60/C6)),(60/C6))/C13),0)</f>
        <v/>
      </c>
      <c r="G222" s="27">
        <f>C7*(C11/(C8+C11))+(E222/1000)/C11+F222</f>
        <v/>
      </c>
      <c r="H222" s="27">
        <f>C222-G222</f>
        <v/>
      </c>
      <c r="I222" s="27">
        <f>C7+(E222/1000)/C8</f>
        <v/>
      </c>
    </row>
    <row r="223" ht="12.95" customHeight="1" s="44">
      <c r="B223" s="25">
        <f>(192/80*(60/C6))</f>
        <v/>
      </c>
      <c r="C223" s="25">
        <f>IF(MOD((192/80*(60/C6)),(60/C6))&lt;(60/C6*C10),C7+(IF(MOD((192/80*(60/C6)),(60/C6))&lt;(60/C6*C10),MIN(C5*MOD((192/80*(60/C6)),(60/C6)),C4),C4*EXP(-(MOD((192/80*(60/C6)),(60/C6))-(60/C6*C10))/(C9*C8))))/C8+C5*C9-F223,C7+(IF(MOD((192/80*(60/C6)),(60/C6))&lt;(60/C6*C10),MIN(C5*MOD((192/80*(60/C6)),(60/C6)),C4),C4*EXP(-(MOD((192/80*(60/C6)),(60/C6))-(60/C6*C10))/(C9*C8))))/C8)</f>
        <v/>
      </c>
      <c r="D223" s="25">
        <f>IF(MOD((192/80*(60/C6)),(60/C6))&lt;(60/C6*C10),C5*60,-(IF(MOD((192/80*(60/C6)),(60/C6))&lt;(60/C6*C10),MIN(C5*MOD((192/80*(60/C6)),(60/C6)),C4),C4*EXP(-(MOD((192/80*(60/C6)),(60/C6))-(60/C6*C10))/(C9*C8))))/(C9*C8)*60)</f>
        <v/>
      </c>
      <c r="E223" s="26">
        <f>(IF(MOD((192/80*(60/C6)),(60/C6))&lt;(60/C6*C10),MIN(C5*MOD((192/80*(60/C6)),(60/C6)),C4),C4*EXP(-(MOD((192/80*(60/C6)),(60/C6))-(60/C6*C10))/(C9*C8))))*1000</f>
        <v/>
      </c>
      <c r="F223" s="25">
        <f>IF(AND(MOD((192/80*(60/C6)),(60/C6))&lt;(60/C6*C10),MOD((192/80*(60/C6)),(60/C6))&lt;C13),-ABS(C12)*SIN(PI()*MOD((192/80*(60/C6)),(60/C6))/C13),0)</f>
        <v/>
      </c>
      <c r="G223" s="25">
        <f>C7*(C11/(C8+C11))+(E223/1000)/C11+F223</f>
        <v/>
      </c>
      <c r="H223" s="25">
        <f>C223-G223</f>
        <v/>
      </c>
      <c r="I223" s="25">
        <f>C7+(E223/1000)/C8</f>
        <v/>
      </c>
    </row>
    <row r="224" ht="12.95" customHeight="1" s="44">
      <c r="B224" s="27">
        <f>(193/80*(60/C6))</f>
        <v/>
      </c>
      <c r="C224" s="27">
        <f>IF(MOD((193/80*(60/C6)),(60/C6))&lt;(60/C6*C10),C7+(IF(MOD((193/80*(60/C6)),(60/C6))&lt;(60/C6*C10),MIN(C5*MOD((193/80*(60/C6)),(60/C6)),C4),C4*EXP(-(MOD((193/80*(60/C6)),(60/C6))-(60/C6*C10))/(C9*C8))))/C8+C5*C9-F224,C7+(IF(MOD((193/80*(60/C6)),(60/C6))&lt;(60/C6*C10),MIN(C5*MOD((193/80*(60/C6)),(60/C6)),C4),C4*EXP(-(MOD((193/80*(60/C6)),(60/C6))-(60/C6*C10))/(C9*C8))))/C8)</f>
        <v/>
      </c>
      <c r="D224" s="27">
        <f>IF(MOD((193/80*(60/C6)),(60/C6))&lt;(60/C6*C10),C5*60,-(IF(MOD((193/80*(60/C6)),(60/C6))&lt;(60/C6*C10),MIN(C5*MOD((193/80*(60/C6)),(60/C6)),C4),C4*EXP(-(MOD((193/80*(60/C6)),(60/C6))-(60/C6*C10))/(C9*C8))))/(C9*C8)*60)</f>
        <v/>
      </c>
      <c r="E224" s="28">
        <f>(IF(MOD((193/80*(60/C6)),(60/C6))&lt;(60/C6*C10),MIN(C5*MOD((193/80*(60/C6)),(60/C6)),C4),C4*EXP(-(MOD((193/80*(60/C6)),(60/C6))-(60/C6*C10))/(C9*C8))))*1000</f>
        <v/>
      </c>
      <c r="F224" s="27">
        <f>IF(AND(MOD((193/80*(60/C6)),(60/C6))&lt;(60/C6*C10),MOD((193/80*(60/C6)),(60/C6))&lt;C13),-ABS(C12)*SIN(PI()*MOD((193/80*(60/C6)),(60/C6))/C13),0)</f>
        <v/>
      </c>
      <c r="G224" s="27">
        <f>C7*(C11/(C8+C11))+(E224/1000)/C11+F224</f>
        <v/>
      </c>
      <c r="H224" s="27">
        <f>C224-G224</f>
        <v/>
      </c>
      <c r="I224" s="27">
        <f>C7+(E224/1000)/C8</f>
        <v/>
      </c>
    </row>
    <row r="225" ht="12.95" customHeight="1" s="44">
      <c r="B225" s="25">
        <f>(194/80*(60/C6))</f>
        <v/>
      </c>
      <c r="C225" s="25">
        <f>IF(MOD((194/80*(60/C6)),(60/C6))&lt;(60/C6*C10),C7+(IF(MOD((194/80*(60/C6)),(60/C6))&lt;(60/C6*C10),MIN(C5*MOD((194/80*(60/C6)),(60/C6)),C4),C4*EXP(-(MOD((194/80*(60/C6)),(60/C6))-(60/C6*C10))/(C9*C8))))/C8+C5*C9-F225,C7+(IF(MOD((194/80*(60/C6)),(60/C6))&lt;(60/C6*C10),MIN(C5*MOD((194/80*(60/C6)),(60/C6)),C4),C4*EXP(-(MOD((194/80*(60/C6)),(60/C6))-(60/C6*C10))/(C9*C8))))/C8)</f>
        <v/>
      </c>
      <c r="D225" s="25">
        <f>IF(MOD((194/80*(60/C6)),(60/C6))&lt;(60/C6*C10),C5*60,-(IF(MOD((194/80*(60/C6)),(60/C6))&lt;(60/C6*C10),MIN(C5*MOD((194/80*(60/C6)),(60/C6)),C4),C4*EXP(-(MOD((194/80*(60/C6)),(60/C6))-(60/C6*C10))/(C9*C8))))/(C9*C8)*60)</f>
        <v/>
      </c>
      <c r="E225" s="26">
        <f>(IF(MOD((194/80*(60/C6)),(60/C6))&lt;(60/C6*C10),MIN(C5*MOD((194/80*(60/C6)),(60/C6)),C4),C4*EXP(-(MOD((194/80*(60/C6)),(60/C6))-(60/C6*C10))/(C9*C8))))*1000</f>
        <v/>
      </c>
      <c r="F225" s="25">
        <f>IF(AND(MOD((194/80*(60/C6)),(60/C6))&lt;(60/C6*C10),MOD((194/80*(60/C6)),(60/C6))&lt;C13),-ABS(C12)*SIN(PI()*MOD((194/80*(60/C6)),(60/C6))/C13),0)</f>
        <v/>
      </c>
      <c r="G225" s="25">
        <f>C7*(C11/(C8+C11))+(E225/1000)/C11+F225</f>
        <v/>
      </c>
      <c r="H225" s="25">
        <f>C225-G225</f>
        <v/>
      </c>
      <c r="I225" s="25">
        <f>C7+(E225/1000)/C8</f>
        <v/>
      </c>
    </row>
    <row r="226" ht="12.95" customHeight="1" s="44">
      <c r="B226" s="27">
        <f>(195/80*(60/C6))</f>
        <v/>
      </c>
      <c r="C226" s="27">
        <f>IF(MOD((195/80*(60/C6)),(60/C6))&lt;(60/C6*C10),C7+(IF(MOD((195/80*(60/C6)),(60/C6))&lt;(60/C6*C10),MIN(C5*MOD((195/80*(60/C6)),(60/C6)),C4),C4*EXP(-(MOD((195/80*(60/C6)),(60/C6))-(60/C6*C10))/(C9*C8))))/C8+C5*C9-F226,C7+(IF(MOD((195/80*(60/C6)),(60/C6))&lt;(60/C6*C10),MIN(C5*MOD((195/80*(60/C6)),(60/C6)),C4),C4*EXP(-(MOD((195/80*(60/C6)),(60/C6))-(60/C6*C10))/(C9*C8))))/C8)</f>
        <v/>
      </c>
      <c r="D226" s="27">
        <f>IF(MOD((195/80*(60/C6)),(60/C6))&lt;(60/C6*C10),C5*60,-(IF(MOD((195/80*(60/C6)),(60/C6))&lt;(60/C6*C10),MIN(C5*MOD((195/80*(60/C6)),(60/C6)),C4),C4*EXP(-(MOD((195/80*(60/C6)),(60/C6))-(60/C6*C10))/(C9*C8))))/(C9*C8)*60)</f>
        <v/>
      </c>
      <c r="E226" s="28">
        <f>(IF(MOD((195/80*(60/C6)),(60/C6))&lt;(60/C6*C10),MIN(C5*MOD((195/80*(60/C6)),(60/C6)),C4),C4*EXP(-(MOD((195/80*(60/C6)),(60/C6))-(60/C6*C10))/(C9*C8))))*1000</f>
        <v/>
      </c>
      <c r="F226" s="27">
        <f>IF(AND(MOD((195/80*(60/C6)),(60/C6))&lt;(60/C6*C10),MOD((195/80*(60/C6)),(60/C6))&lt;C13),-ABS(C12)*SIN(PI()*MOD((195/80*(60/C6)),(60/C6))/C13),0)</f>
        <v/>
      </c>
      <c r="G226" s="27">
        <f>C7*(C11/(C8+C11))+(E226/1000)/C11+F226</f>
        <v/>
      </c>
      <c r="H226" s="27">
        <f>C226-G226</f>
        <v/>
      </c>
      <c r="I226" s="27">
        <f>C7+(E226/1000)/C8</f>
        <v/>
      </c>
    </row>
    <row r="227" ht="12.95" customHeight="1" s="44">
      <c r="B227" s="25">
        <f>(196/80*(60/C6))</f>
        <v/>
      </c>
      <c r="C227" s="25">
        <f>IF(MOD((196/80*(60/C6)),(60/C6))&lt;(60/C6*C10),C7+(IF(MOD((196/80*(60/C6)),(60/C6))&lt;(60/C6*C10),MIN(C5*MOD((196/80*(60/C6)),(60/C6)),C4),C4*EXP(-(MOD((196/80*(60/C6)),(60/C6))-(60/C6*C10))/(C9*C8))))/C8+C5*C9-F227,C7+(IF(MOD((196/80*(60/C6)),(60/C6))&lt;(60/C6*C10),MIN(C5*MOD((196/80*(60/C6)),(60/C6)),C4),C4*EXP(-(MOD((196/80*(60/C6)),(60/C6))-(60/C6*C10))/(C9*C8))))/C8)</f>
        <v/>
      </c>
      <c r="D227" s="25">
        <f>IF(MOD((196/80*(60/C6)),(60/C6))&lt;(60/C6*C10),C5*60,-(IF(MOD((196/80*(60/C6)),(60/C6))&lt;(60/C6*C10),MIN(C5*MOD((196/80*(60/C6)),(60/C6)),C4),C4*EXP(-(MOD((196/80*(60/C6)),(60/C6))-(60/C6*C10))/(C9*C8))))/(C9*C8)*60)</f>
        <v/>
      </c>
      <c r="E227" s="26">
        <f>(IF(MOD((196/80*(60/C6)),(60/C6))&lt;(60/C6*C10),MIN(C5*MOD((196/80*(60/C6)),(60/C6)),C4),C4*EXP(-(MOD((196/80*(60/C6)),(60/C6))-(60/C6*C10))/(C9*C8))))*1000</f>
        <v/>
      </c>
      <c r="F227" s="25">
        <f>IF(AND(MOD((196/80*(60/C6)),(60/C6))&lt;(60/C6*C10),MOD((196/80*(60/C6)),(60/C6))&lt;C13),-ABS(C12)*SIN(PI()*MOD((196/80*(60/C6)),(60/C6))/C13),0)</f>
        <v/>
      </c>
      <c r="G227" s="25">
        <f>C7*(C11/(C8+C11))+(E227/1000)/C11+F227</f>
        <v/>
      </c>
      <c r="H227" s="25">
        <f>C227-G227</f>
        <v/>
      </c>
      <c r="I227" s="25">
        <f>C7+(E227/1000)/C8</f>
        <v/>
      </c>
    </row>
    <row r="228" ht="12.95" customHeight="1" s="44">
      <c r="B228" s="27">
        <f>(197/80*(60/C6))</f>
        <v/>
      </c>
      <c r="C228" s="27">
        <f>IF(MOD((197/80*(60/C6)),(60/C6))&lt;(60/C6*C10),C7+(IF(MOD((197/80*(60/C6)),(60/C6))&lt;(60/C6*C10),MIN(C5*MOD((197/80*(60/C6)),(60/C6)),C4),C4*EXP(-(MOD((197/80*(60/C6)),(60/C6))-(60/C6*C10))/(C9*C8))))/C8+C5*C9-F228,C7+(IF(MOD((197/80*(60/C6)),(60/C6))&lt;(60/C6*C10),MIN(C5*MOD((197/80*(60/C6)),(60/C6)),C4),C4*EXP(-(MOD((197/80*(60/C6)),(60/C6))-(60/C6*C10))/(C9*C8))))/C8)</f>
        <v/>
      </c>
      <c r="D228" s="27">
        <f>IF(MOD((197/80*(60/C6)),(60/C6))&lt;(60/C6*C10),C5*60,-(IF(MOD((197/80*(60/C6)),(60/C6))&lt;(60/C6*C10),MIN(C5*MOD((197/80*(60/C6)),(60/C6)),C4),C4*EXP(-(MOD((197/80*(60/C6)),(60/C6))-(60/C6*C10))/(C9*C8))))/(C9*C8)*60)</f>
        <v/>
      </c>
      <c r="E228" s="28">
        <f>(IF(MOD((197/80*(60/C6)),(60/C6))&lt;(60/C6*C10),MIN(C5*MOD((197/80*(60/C6)),(60/C6)),C4),C4*EXP(-(MOD((197/80*(60/C6)),(60/C6))-(60/C6*C10))/(C9*C8))))*1000</f>
        <v/>
      </c>
      <c r="F228" s="27">
        <f>IF(AND(MOD((197/80*(60/C6)),(60/C6))&lt;(60/C6*C10),MOD((197/80*(60/C6)),(60/C6))&lt;C13),-ABS(C12)*SIN(PI()*MOD((197/80*(60/C6)),(60/C6))/C13),0)</f>
        <v/>
      </c>
      <c r="G228" s="27">
        <f>C7*(C11/(C8+C11))+(E228/1000)/C11+F228</f>
        <v/>
      </c>
      <c r="H228" s="27">
        <f>C228-G228</f>
        <v/>
      </c>
      <c r="I228" s="27">
        <f>C7+(E228/1000)/C8</f>
        <v/>
      </c>
    </row>
    <row r="229" ht="12.95" customHeight="1" s="44">
      <c r="B229" s="25">
        <f>(198/80*(60/C6))</f>
        <v/>
      </c>
      <c r="C229" s="25">
        <f>IF(MOD((198/80*(60/C6)),(60/C6))&lt;(60/C6*C10),C7+(IF(MOD((198/80*(60/C6)),(60/C6))&lt;(60/C6*C10),MIN(C5*MOD((198/80*(60/C6)),(60/C6)),C4),C4*EXP(-(MOD((198/80*(60/C6)),(60/C6))-(60/C6*C10))/(C9*C8))))/C8+C5*C9-F229,C7+(IF(MOD((198/80*(60/C6)),(60/C6))&lt;(60/C6*C10),MIN(C5*MOD((198/80*(60/C6)),(60/C6)),C4),C4*EXP(-(MOD((198/80*(60/C6)),(60/C6))-(60/C6*C10))/(C9*C8))))/C8)</f>
        <v/>
      </c>
      <c r="D229" s="25">
        <f>IF(MOD((198/80*(60/C6)),(60/C6))&lt;(60/C6*C10),C5*60,-(IF(MOD((198/80*(60/C6)),(60/C6))&lt;(60/C6*C10),MIN(C5*MOD((198/80*(60/C6)),(60/C6)),C4),C4*EXP(-(MOD((198/80*(60/C6)),(60/C6))-(60/C6*C10))/(C9*C8))))/(C9*C8)*60)</f>
        <v/>
      </c>
      <c r="E229" s="26">
        <f>(IF(MOD((198/80*(60/C6)),(60/C6))&lt;(60/C6*C10),MIN(C5*MOD((198/80*(60/C6)),(60/C6)),C4),C4*EXP(-(MOD((198/80*(60/C6)),(60/C6))-(60/C6*C10))/(C9*C8))))*1000</f>
        <v/>
      </c>
      <c r="F229" s="25">
        <f>IF(AND(MOD((198/80*(60/C6)),(60/C6))&lt;(60/C6*C10),MOD((198/80*(60/C6)),(60/C6))&lt;C13),-ABS(C12)*SIN(PI()*MOD((198/80*(60/C6)),(60/C6))/C13),0)</f>
        <v/>
      </c>
      <c r="G229" s="25">
        <f>C7*(C11/(C8+C11))+(E229/1000)/C11+F229</f>
        <v/>
      </c>
      <c r="H229" s="25">
        <f>C229-G229</f>
        <v/>
      </c>
      <c r="I229" s="25">
        <f>C7+(E229/1000)/C8</f>
        <v/>
      </c>
    </row>
    <row r="230" ht="12.95" customHeight="1" s="44">
      <c r="B230" s="27">
        <f>(199/80*(60/C6))</f>
        <v/>
      </c>
      <c r="C230" s="27">
        <f>IF(MOD((199/80*(60/C6)),(60/C6))&lt;(60/C6*C10),C7+(IF(MOD((199/80*(60/C6)),(60/C6))&lt;(60/C6*C10),MIN(C5*MOD((199/80*(60/C6)),(60/C6)),C4),C4*EXP(-(MOD((199/80*(60/C6)),(60/C6))-(60/C6*C10))/(C9*C8))))/C8+C5*C9-F230,C7+(IF(MOD((199/80*(60/C6)),(60/C6))&lt;(60/C6*C10),MIN(C5*MOD((199/80*(60/C6)),(60/C6)),C4),C4*EXP(-(MOD((199/80*(60/C6)),(60/C6))-(60/C6*C10))/(C9*C8))))/C8)</f>
        <v/>
      </c>
      <c r="D230" s="27">
        <f>IF(MOD((199/80*(60/C6)),(60/C6))&lt;(60/C6*C10),C5*60,-(IF(MOD((199/80*(60/C6)),(60/C6))&lt;(60/C6*C10),MIN(C5*MOD((199/80*(60/C6)),(60/C6)),C4),C4*EXP(-(MOD((199/80*(60/C6)),(60/C6))-(60/C6*C10))/(C9*C8))))/(C9*C8)*60)</f>
        <v/>
      </c>
      <c r="E230" s="28">
        <f>(IF(MOD((199/80*(60/C6)),(60/C6))&lt;(60/C6*C10),MIN(C5*MOD((199/80*(60/C6)),(60/C6)),C4),C4*EXP(-(MOD((199/80*(60/C6)),(60/C6))-(60/C6*C10))/(C9*C8))))*1000</f>
        <v/>
      </c>
      <c r="F230" s="27">
        <f>IF(AND(MOD((199/80*(60/C6)),(60/C6))&lt;(60/C6*C10),MOD((199/80*(60/C6)),(60/C6))&lt;C13),-ABS(C12)*SIN(PI()*MOD((199/80*(60/C6)),(60/C6))/C13),0)</f>
        <v/>
      </c>
      <c r="G230" s="27">
        <f>C7*(C11/(C8+C11))+(E230/1000)/C11+F230</f>
        <v/>
      </c>
      <c r="H230" s="27">
        <f>C230-G230</f>
        <v/>
      </c>
      <c r="I230" s="27">
        <f>C7+(E230/1000)/C8</f>
        <v/>
      </c>
    </row>
    <row r="231" ht="12.95" customHeight="1" s="44">
      <c r="B231" s="25">
        <f>(200/80*(60/C6))</f>
        <v/>
      </c>
      <c r="C231" s="25">
        <f>IF(MOD((200/80*(60/C6)),(60/C6))&lt;(60/C6*C10),C7+(IF(MOD((200/80*(60/C6)),(60/C6))&lt;(60/C6*C10),MIN(C5*MOD((200/80*(60/C6)),(60/C6)),C4),C4*EXP(-(MOD((200/80*(60/C6)),(60/C6))-(60/C6*C10))/(C9*C8))))/C8+C5*C9-F231,C7+(IF(MOD((200/80*(60/C6)),(60/C6))&lt;(60/C6*C10),MIN(C5*MOD((200/80*(60/C6)),(60/C6)),C4),C4*EXP(-(MOD((200/80*(60/C6)),(60/C6))-(60/C6*C10))/(C9*C8))))/C8)</f>
        <v/>
      </c>
      <c r="D231" s="25">
        <f>IF(MOD((200/80*(60/C6)),(60/C6))&lt;(60/C6*C10),C5*60,-(IF(MOD((200/80*(60/C6)),(60/C6))&lt;(60/C6*C10),MIN(C5*MOD((200/80*(60/C6)),(60/C6)),C4),C4*EXP(-(MOD((200/80*(60/C6)),(60/C6))-(60/C6*C10))/(C9*C8))))/(C9*C8)*60)</f>
        <v/>
      </c>
      <c r="E231" s="26">
        <f>(IF(MOD((200/80*(60/C6)),(60/C6))&lt;(60/C6*C10),MIN(C5*MOD((200/80*(60/C6)),(60/C6)),C4),C4*EXP(-(MOD((200/80*(60/C6)),(60/C6))-(60/C6*C10))/(C9*C8))))*1000</f>
        <v/>
      </c>
      <c r="F231" s="25">
        <f>IF(AND(MOD((200/80*(60/C6)),(60/C6))&lt;(60/C6*C10),MOD((200/80*(60/C6)),(60/C6))&lt;C13),-ABS(C12)*SIN(PI()*MOD((200/80*(60/C6)),(60/C6))/C13),0)</f>
        <v/>
      </c>
      <c r="G231" s="25">
        <f>C7*(C11/(C8+C11))+(E231/1000)/C11+F231</f>
        <v/>
      </c>
      <c r="H231" s="25">
        <f>C231-G231</f>
        <v/>
      </c>
      <c r="I231" s="25">
        <f>C7+(E231/1000)/C8</f>
        <v/>
      </c>
    </row>
    <row r="232" ht="12.95" customHeight="1" s="44">
      <c r="B232" s="27">
        <f>(201/80*(60/C6))</f>
        <v/>
      </c>
      <c r="C232" s="27">
        <f>IF(MOD((201/80*(60/C6)),(60/C6))&lt;(60/C6*C10),C7+(IF(MOD((201/80*(60/C6)),(60/C6))&lt;(60/C6*C10),MIN(C5*MOD((201/80*(60/C6)),(60/C6)),C4),C4*EXP(-(MOD((201/80*(60/C6)),(60/C6))-(60/C6*C10))/(C9*C8))))/C8+C5*C9-F232,C7+(IF(MOD((201/80*(60/C6)),(60/C6))&lt;(60/C6*C10),MIN(C5*MOD((201/80*(60/C6)),(60/C6)),C4),C4*EXP(-(MOD((201/80*(60/C6)),(60/C6))-(60/C6*C10))/(C9*C8))))/C8)</f>
        <v/>
      </c>
      <c r="D232" s="27">
        <f>IF(MOD((201/80*(60/C6)),(60/C6))&lt;(60/C6*C10),C5*60,-(IF(MOD((201/80*(60/C6)),(60/C6))&lt;(60/C6*C10),MIN(C5*MOD((201/80*(60/C6)),(60/C6)),C4),C4*EXP(-(MOD((201/80*(60/C6)),(60/C6))-(60/C6*C10))/(C9*C8))))/(C9*C8)*60)</f>
        <v/>
      </c>
      <c r="E232" s="28">
        <f>(IF(MOD((201/80*(60/C6)),(60/C6))&lt;(60/C6*C10),MIN(C5*MOD((201/80*(60/C6)),(60/C6)),C4),C4*EXP(-(MOD((201/80*(60/C6)),(60/C6))-(60/C6*C10))/(C9*C8))))*1000</f>
        <v/>
      </c>
      <c r="F232" s="27">
        <f>IF(AND(MOD((201/80*(60/C6)),(60/C6))&lt;(60/C6*C10),MOD((201/80*(60/C6)),(60/C6))&lt;C13),-ABS(C12)*SIN(PI()*MOD((201/80*(60/C6)),(60/C6))/C13),0)</f>
        <v/>
      </c>
      <c r="G232" s="27">
        <f>C7*(C11/(C8+C11))+(E232/1000)/C11+F232</f>
        <v/>
      </c>
      <c r="H232" s="27">
        <f>C232-G232</f>
        <v/>
      </c>
      <c r="I232" s="27">
        <f>C7+(E232/1000)/C8</f>
        <v/>
      </c>
    </row>
    <row r="233" ht="12.95" customHeight="1" s="44">
      <c r="B233" s="25">
        <f>(202/80*(60/C6))</f>
        <v/>
      </c>
      <c r="C233" s="25">
        <f>IF(MOD((202/80*(60/C6)),(60/C6))&lt;(60/C6*C10),C7+(IF(MOD((202/80*(60/C6)),(60/C6))&lt;(60/C6*C10),MIN(C5*MOD((202/80*(60/C6)),(60/C6)),C4),C4*EXP(-(MOD((202/80*(60/C6)),(60/C6))-(60/C6*C10))/(C9*C8))))/C8+C5*C9-F233,C7+(IF(MOD((202/80*(60/C6)),(60/C6))&lt;(60/C6*C10),MIN(C5*MOD((202/80*(60/C6)),(60/C6)),C4),C4*EXP(-(MOD((202/80*(60/C6)),(60/C6))-(60/C6*C10))/(C9*C8))))/C8)</f>
        <v/>
      </c>
      <c r="D233" s="25">
        <f>IF(MOD((202/80*(60/C6)),(60/C6))&lt;(60/C6*C10),C5*60,-(IF(MOD((202/80*(60/C6)),(60/C6))&lt;(60/C6*C10),MIN(C5*MOD((202/80*(60/C6)),(60/C6)),C4),C4*EXP(-(MOD((202/80*(60/C6)),(60/C6))-(60/C6*C10))/(C9*C8))))/(C9*C8)*60)</f>
        <v/>
      </c>
      <c r="E233" s="26">
        <f>(IF(MOD((202/80*(60/C6)),(60/C6))&lt;(60/C6*C10),MIN(C5*MOD((202/80*(60/C6)),(60/C6)),C4),C4*EXP(-(MOD((202/80*(60/C6)),(60/C6))-(60/C6*C10))/(C9*C8))))*1000</f>
        <v/>
      </c>
      <c r="F233" s="25">
        <f>IF(AND(MOD((202/80*(60/C6)),(60/C6))&lt;(60/C6*C10),MOD((202/80*(60/C6)),(60/C6))&lt;C13),-ABS(C12)*SIN(PI()*MOD((202/80*(60/C6)),(60/C6))/C13),0)</f>
        <v/>
      </c>
      <c r="G233" s="25">
        <f>C7*(C11/(C8+C11))+(E233/1000)/C11+F233</f>
        <v/>
      </c>
      <c r="H233" s="25">
        <f>C233-G233</f>
        <v/>
      </c>
      <c r="I233" s="25">
        <f>C7+(E233/1000)/C8</f>
        <v/>
      </c>
    </row>
    <row r="234" ht="12.95" customHeight="1" s="44">
      <c r="B234" s="27">
        <f>(203/80*(60/C6))</f>
        <v/>
      </c>
      <c r="C234" s="27">
        <f>IF(MOD((203/80*(60/C6)),(60/C6))&lt;(60/C6*C10),C7+(IF(MOD((203/80*(60/C6)),(60/C6))&lt;(60/C6*C10),MIN(C5*MOD((203/80*(60/C6)),(60/C6)),C4),C4*EXP(-(MOD((203/80*(60/C6)),(60/C6))-(60/C6*C10))/(C9*C8))))/C8+C5*C9-F234,C7+(IF(MOD((203/80*(60/C6)),(60/C6))&lt;(60/C6*C10),MIN(C5*MOD((203/80*(60/C6)),(60/C6)),C4),C4*EXP(-(MOD((203/80*(60/C6)),(60/C6))-(60/C6*C10))/(C9*C8))))/C8)</f>
        <v/>
      </c>
      <c r="D234" s="27">
        <f>IF(MOD((203/80*(60/C6)),(60/C6))&lt;(60/C6*C10),C5*60,-(IF(MOD((203/80*(60/C6)),(60/C6))&lt;(60/C6*C10),MIN(C5*MOD((203/80*(60/C6)),(60/C6)),C4),C4*EXP(-(MOD((203/80*(60/C6)),(60/C6))-(60/C6*C10))/(C9*C8))))/(C9*C8)*60)</f>
        <v/>
      </c>
      <c r="E234" s="28">
        <f>(IF(MOD((203/80*(60/C6)),(60/C6))&lt;(60/C6*C10),MIN(C5*MOD((203/80*(60/C6)),(60/C6)),C4),C4*EXP(-(MOD((203/80*(60/C6)),(60/C6))-(60/C6*C10))/(C9*C8))))*1000</f>
        <v/>
      </c>
      <c r="F234" s="27">
        <f>IF(AND(MOD((203/80*(60/C6)),(60/C6))&lt;(60/C6*C10),MOD((203/80*(60/C6)),(60/C6))&lt;C13),-ABS(C12)*SIN(PI()*MOD((203/80*(60/C6)),(60/C6))/C13),0)</f>
        <v/>
      </c>
      <c r="G234" s="27">
        <f>C7*(C11/(C8+C11))+(E234/1000)/C11+F234</f>
        <v/>
      </c>
      <c r="H234" s="27">
        <f>C234-G234</f>
        <v/>
      </c>
      <c r="I234" s="27">
        <f>C7+(E234/1000)/C8</f>
        <v/>
      </c>
    </row>
    <row r="235" ht="12.95" customHeight="1" s="44">
      <c r="B235" s="25">
        <f>(204/80*(60/C6))</f>
        <v/>
      </c>
      <c r="C235" s="25">
        <f>IF(MOD((204/80*(60/C6)),(60/C6))&lt;(60/C6*C10),C7+(IF(MOD((204/80*(60/C6)),(60/C6))&lt;(60/C6*C10),MIN(C5*MOD((204/80*(60/C6)),(60/C6)),C4),C4*EXP(-(MOD((204/80*(60/C6)),(60/C6))-(60/C6*C10))/(C9*C8))))/C8+C5*C9-F235,C7+(IF(MOD((204/80*(60/C6)),(60/C6))&lt;(60/C6*C10),MIN(C5*MOD((204/80*(60/C6)),(60/C6)),C4),C4*EXP(-(MOD((204/80*(60/C6)),(60/C6))-(60/C6*C10))/(C9*C8))))/C8)</f>
        <v/>
      </c>
      <c r="D235" s="25">
        <f>IF(MOD((204/80*(60/C6)),(60/C6))&lt;(60/C6*C10),C5*60,-(IF(MOD((204/80*(60/C6)),(60/C6))&lt;(60/C6*C10),MIN(C5*MOD((204/80*(60/C6)),(60/C6)),C4),C4*EXP(-(MOD((204/80*(60/C6)),(60/C6))-(60/C6*C10))/(C9*C8))))/(C9*C8)*60)</f>
        <v/>
      </c>
      <c r="E235" s="26">
        <f>(IF(MOD((204/80*(60/C6)),(60/C6))&lt;(60/C6*C10),MIN(C5*MOD((204/80*(60/C6)),(60/C6)),C4),C4*EXP(-(MOD((204/80*(60/C6)),(60/C6))-(60/C6*C10))/(C9*C8))))*1000</f>
        <v/>
      </c>
      <c r="F235" s="25">
        <f>IF(AND(MOD((204/80*(60/C6)),(60/C6))&lt;(60/C6*C10),MOD((204/80*(60/C6)),(60/C6))&lt;C13),-ABS(C12)*SIN(PI()*MOD((204/80*(60/C6)),(60/C6))/C13),0)</f>
        <v/>
      </c>
      <c r="G235" s="25">
        <f>C7*(C11/(C8+C11))+(E235/1000)/C11+F235</f>
        <v/>
      </c>
      <c r="H235" s="25">
        <f>C235-G235</f>
        <v/>
      </c>
      <c r="I235" s="25">
        <f>C7+(E235/1000)/C8</f>
        <v/>
      </c>
    </row>
    <row r="236" ht="12.95" customHeight="1" s="44">
      <c r="B236" s="27">
        <f>(205/80*(60/C6))</f>
        <v/>
      </c>
      <c r="C236" s="27">
        <f>IF(MOD((205/80*(60/C6)),(60/C6))&lt;(60/C6*C10),C7+(IF(MOD((205/80*(60/C6)),(60/C6))&lt;(60/C6*C10),MIN(C5*MOD((205/80*(60/C6)),(60/C6)),C4),C4*EXP(-(MOD((205/80*(60/C6)),(60/C6))-(60/C6*C10))/(C9*C8))))/C8+C5*C9-F236,C7+(IF(MOD((205/80*(60/C6)),(60/C6))&lt;(60/C6*C10),MIN(C5*MOD((205/80*(60/C6)),(60/C6)),C4),C4*EXP(-(MOD((205/80*(60/C6)),(60/C6))-(60/C6*C10))/(C9*C8))))/C8)</f>
        <v/>
      </c>
      <c r="D236" s="27">
        <f>IF(MOD((205/80*(60/C6)),(60/C6))&lt;(60/C6*C10),C5*60,-(IF(MOD((205/80*(60/C6)),(60/C6))&lt;(60/C6*C10),MIN(C5*MOD((205/80*(60/C6)),(60/C6)),C4),C4*EXP(-(MOD((205/80*(60/C6)),(60/C6))-(60/C6*C10))/(C9*C8))))/(C9*C8)*60)</f>
        <v/>
      </c>
      <c r="E236" s="28">
        <f>(IF(MOD((205/80*(60/C6)),(60/C6))&lt;(60/C6*C10),MIN(C5*MOD((205/80*(60/C6)),(60/C6)),C4),C4*EXP(-(MOD((205/80*(60/C6)),(60/C6))-(60/C6*C10))/(C9*C8))))*1000</f>
        <v/>
      </c>
      <c r="F236" s="27">
        <f>IF(AND(MOD((205/80*(60/C6)),(60/C6))&lt;(60/C6*C10),MOD((205/80*(60/C6)),(60/C6))&lt;C13),-ABS(C12)*SIN(PI()*MOD((205/80*(60/C6)),(60/C6))/C13),0)</f>
        <v/>
      </c>
      <c r="G236" s="27">
        <f>C7*(C11/(C8+C11))+(E236/1000)/C11+F236</f>
        <v/>
      </c>
      <c r="H236" s="27">
        <f>C236-G236</f>
        <v/>
      </c>
      <c r="I236" s="27">
        <f>C7+(E236/1000)/C8</f>
        <v/>
      </c>
    </row>
    <row r="237" ht="12.95" customHeight="1" s="44">
      <c r="B237" s="25">
        <f>(206/80*(60/C6))</f>
        <v/>
      </c>
      <c r="C237" s="25">
        <f>IF(MOD((206/80*(60/C6)),(60/C6))&lt;(60/C6*C10),C7+(IF(MOD((206/80*(60/C6)),(60/C6))&lt;(60/C6*C10),MIN(C5*MOD((206/80*(60/C6)),(60/C6)),C4),C4*EXP(-(MOD((206/80*(60/C6)),(60/C6))-(60/C6*C10))/(C9*C8))))/C8+C5*C9-F237,C7+(IF(MOD((206/80*(60/C6)),(60/C6))&lt;(60/C6*C10),MIN(C5*MOD((206/80*(60/C6)),(60/C6)),C4),C4*EXP(-(MOD((206/80*(60/C6)),(60/C6))-(60/C6*C10))/(C9*C8))))/C8)</f>
        <v/>
      </c>
      <c r="D237" s="25">
        <f>IF(MOD((206/80*(60/C6)),(60/C6))&lt;(60/C6*C10),C5*60,-(IF(MOD((206/80*(60/C6)),(60/C6))&lt;(60/C6*C10),MIN(C5*MOD((206/80*(60/C6)),(60/C6)),C4),C4*EXP(-(MOD((206/80*(60/C6)),(60/C6))-(60/C6*C10))/(C9*C8))))/(C9*C8)*60)</f>
        <v/>
      </c>
      <c r="E237" s="26">
        <f>(IF(MOD((206/80*(60/C6)),(60/C6))&lt;(60/C6*C10),MIN(C5*MOD((206/80*(60/C6)),(60/C6)),C4),C4*EXP(-(MOD((206/80*(60/C6)),(60/C6))-(60/C6*C10))/(C9*C8))))*1000</f>
        <v/>
      </c>
      <c r="F237" s="25">
        <f>IF(AND(MOD((206/80*(60/C6)),(60/C6))&lt;(60/C6*C10),MOD((206/80*(60/C6)),(60/C6))&lt;C13),-ABS(C12)*SIN(PI()*MOD((206/80*(60/C6)),(60/C6))/C13),0)</f>
        <v/>
      </c>
      <c r="G237" s="25">
        <f>C7*(C11/(C8+C11))+(E237/1000)/C11+F237</f>
        <v/>
      </c>
      <c r="H237" s="25">
        <f>C237-G237</f>
        <v/>
      </c>
      <c r="I237" s="25">
        <f>C7+(E237/1000)/C8</f>
        <v/>
      </c>
    </row>
    <row r="238" ht="12.95" customHeight="1" s="44">
      <c r="B238" s="27">
        <f>(207/80*(60/C6))</f>
        <v/>
      </c>
      <c r="C238" s="27">
        <f>IF(MOD((207/80*(60/C6)),(60/C6))&lt;(60/C6*C10),C7+(IF(MOD((207/80*(60/C6)),(60/C6))&lt;(60/C6*C10),MIN(C5*MOD((207/80*(60/C6)),(60/C6)),C4),C4*EXP(-(MOD((207/80*(60/C6)),(60/C6))-(60/C6*C10))/(C9*C8))))/C8+C5*C9-F238,C7+(IF(MOD((207/80*(60/C6)),(60/C6))&lt;(60/C6*C10),MIN(C5*MOD((207/80*(60/C6)),(60/C6)),C4),C4*EXP(-(MOD((207/80*(60/C6)),(60/C6))-(60/C6*C10))/(C9*C8))))/C8)</f>
        <v/>
      </c>
      <c r="D238" s="27">
        <f>IF(MOD((207/80*(60/C6)),(60/C6))&lt;(60/C6*C10),C5*60,-(IF(MOD((207/80*(60/C6)),(60/C6))&lt;(60/C6*C10),MIN(C5*MOD((207/80*(60/C6)),(60/C6)),C4),C4*EXP(-(MOD((207/80*(60/C6)),(60/C6))-(60/C6*C10))/(C9*C8))))/(C9*C8)*60)</f>
        <v/>
      </c>
      <c r="E238" s="28">
        <f>(IF(MOD((207/80*(60/C6)),(60/C6))&lt;(60/C6*C10),MIN(C5*MOD((207/80*(60/C6)),(60/C6)),C4),C4*EXP(-(MOD((207/80*(60/C6)),(60/C6))-(60/C6*C10))/(C9*C8))))*1000</f>
        <v/>
      </c>
      <c r="F238" s="27">
        <f>IF(AND(MOD((207/80*(60/C6)),(60/C6))&lt;(60/C6*C10),MOD((207/80*(60/C6)),(60/C6))&lt;C13),-ABS(C12)*SIN(PI()*MOD((207/80*(60/C6)),(60/C6))/C13),0)</f>
        <v/>
      </c>
      <c r="G238" s="27">
        <f>C7*(C11/(C8+C11))+(E238/1000)/C11+F238</f>
        <v/>
      </c>
      <c r="H238" s="27">
        <f>C238-G238</f>
        <v/>
      </c>
      <c r="I238" s="27">
        <f>C7+(E238/1000)/C8</f>
        <v/>
      </c>
    </row>
    <row r="239" ht="12.95" customHeight="1" s="44">
      <c r="B239" s="25">
        <f>(208/80*(60/C6))</f>
        <v/>
      </c>
      <c r="C239" s="25">
        <f>IF(MOD((208/80*(60/C6)),(60/C6))&lt;(60/C6*C10),C7+(IF(MOD((208/80*(60/C6)),(60/C6))&lt;(60/C6*C10),MIN(C5*MOD((208/80*(60/C6)),(60/C6)),C4),C4*EXP(-(MOD((208/80*(60/C6)),(60/C6))-(60/C6*C10))/(C9*C8))))/C8+C5*C9-F239,C7+(IF(MOD((208/80*(60/C6)),(60/C6))&lt;(60/C6*C10),MIN(C5*MOD((208/80*(60/C6)),(60/C6)),C4),C4*EXP(-(MOD((208/80*(60/C6)),(60/C6))-(60/C6*C10))/(C9*C8))))/C8)</f>
        <v/>
      </c>
      <c r="D239" s="25">
        <f>IF(MOD((208/80*(60/C6)),(60/C6))&lt;(60/C6*C10),C5*60,-(IF(MOD((208/80*(60/C6)),(60/C6))&lt;(60/C6*C10),MIN(C5*MOD((208/80*(60/C6)),(60/C6)),C4),C4*EXP(-(MOD((208/80*(60/C6)),(60/C6))-(60/C6*C10))/(C9*C8))))/(C9*C8)*60)</f>
        <v/>
      </c>
      <c r="E239" s="26">
        <f>(IF(MOD((208/80*(60/C6)),(60/C6))&lt;(60/C6*C10),MIN(C5*MOD((208/80*(60/C6)),(60/C6)),C4),C4*EXP(-(MOD((208/80*(60/C6)),(60/C6))-(60/C6*C10))/(C9*C8))))*1000</f>
        <v/>
      </c>
      <c r="F239" s="25">
        <f>IF(AND(MOD((208/80*(60/C6)),(60/C6))&lt;(60/C6*C10),MOD((208/80*(60/C6)),(60/C6))&lt;C13),-ABS(C12)*SIN(PI()*MOD((208/80*(60/C6)),(60/C6))/C13),0)</f>
        <v/>
      </c>
      <c r="G239" s="25">
        <f>C7*(C11/(C8+C11))+(E239/1000)/C11+F239</f>
        <v/>
      </c>
      <c r="H239" s="25">
        <f>C239-G239</f>
        <v/>
      </c>
      <c r="I239" s="25">
        <f>C7+(E239/1000)/C8</f>
        <v/>
      </c>
    </row>
    <row r="240" ht="12.95" customHeight="1" s="44">
      <c r="B240" s="27">
        <f>(209/80*(60/C6))</f>
        <v/>
      </c>
      <c r="C240" s="27">
        <f>IF(MOD((209/80*(60/C6)),(60/C6))&lt;(60/C6*C10),C7+(IF(MOD((209/80*(60/C6)),(60/C6))&lt;(60/C6*C10),MIN(C5*MOD((209/80*(60/C6)),(60/C6)),C4),C4*EXP(-(MOD((209/80*(60/C6)),(60/C6))-(60/C6*C10))/(C9*C8))))/C8+C5*C9-F240,C7+(IF(MOD((209/80*(60/C6)),(60/C6))&lt;(60/C6*C10),MIN(C5*MOD((209/80*(60/C6)),(60/C6)),C4),C4*EXP(-(MOD((209/80*(60/C6)),(60/C6))-(60/C6*C10))/(C9*C8))))/C8)</f>
        <v/>
      </c>
      <c r="D240" s="27">
        <f>IF(MOD((209/80*(60/C6)),(60/C6))&lt;(60/C6*C10),C5*60,-(IF(MOD((209/80*(60/C6)),(60/C6))&lt;(60/C6*C10),MIN(C5*MOD((209/80*(60/C6)),(60/C6)),C4),C4*EXP(-(MOD((209/80*(60/C6)),(60/C6))-(60/C6*C10))/(C9*C8))))/(C9*C8)*60)</f>
        <v/>
      </c>
      <c r="E240" s="28">
        <f>(IF(MOD((209/80*(60/C6)),(60/C6))&lt;(60/C6*C10),MIN(C5*MOD((209/80*(60/C6)),(60/C6)),C4),C4*EXP(-(MOD((209/80*(60/C6)),(60/C6))-(60/C6*C10))/(C9*C8))))*1000</f>
        <v/>
      </c>
      <c r="F240" s="27">
        <f>IF(AND(MOD((209/80*(60/C6)),(60/C6))&lt;(60/C6*C10),MOD((209/80*(60/C6)),(60/C6))&lt;C13),-ABS(C12)*SIN(PI()*MOD((209/80*(60/C6)),(60/C6))/C13),0)</f>
        <v/>
      </c>
      <c r="G240" s="27">
        <f>C7*(C11/(C8+C11))+(E240/1000)/C11+F240</f>
        <v/>
      </c>
      <c r="H240" s="27">
        <f>C240-G240</f>
        <v/>
      </c>
      <c r="I240" s="27">
        <f>C7+(E240/1000)/C8</f>
        <v/>
      </c>
    </row>
    <row r="241" ht="12.95" customHeight="1" s="44">
      <c r="B241" s="25">
        <f>(210/80*(60/C6))</f>
        <v/>
      </c>
      <c r="C241" s="25">
        <f>IF(MOD((210/80*(60/C6)),(60/C6))&lt;(60/C6*C10),C7+(IF(MOD((210/80*(60/C6)),(60/C6))&lt;(60/C6*C10),MIN(C5*MOD((210/80*(60/C6)),(60/C6)),C4),C4*EXP(-(MOD((210/80*(60/C6)),(60/C6))-(60/C6*C10))/(C9*C8))))/C8+C5*C9-F241,C7+(IF(MOD((210/80*(60/C6)),(60/C6))&lt;(60/C6*C10),MIN(C5*MOD((210/80*(60/C6)),(60/C6)),C4),C4*EXP(-(MOD((210/80*(60/C6)),(60/C6))-(60/C6*C10))/(C9*C8))))/C8)</f>
        <v/>
      </c>
      <c r="D241" s="25">
        <f>IF(MOD((210/80*(60/C6)),(60/C6))&lt;(60/C6*C10),C5*60,-(IF(MOD((210/80*(60/C6)),(60/C6))&lt;(60/C6*C10),MIN(C5*MOD((210/80*(60/C6)),(60/C6)),C4),C4*EXP(-(MOD((210/80*(60/C6)),(60/C6))-(60/C6*C10))/(C9*C8))))/(C9*C8)*60)</f>
        <v/>
      </c>
      <c r="E241" s="26">
        <f>(IF(MOD((210/80*(60/C6)),(60/C6))&lt;(60/C6*C10),MIN(C5*MOD((210/80*(60/C6)),(60/C6)),C4),C4*EXP(-(MOD((210/80*(60/C6)),(60/C6))-(60/C6*C10))/(C9*C8))))*1000</f>
        <v/>
      </c>
      <c r="F241" s="25">
        <f>IF(AND(MOD((210/80*(60/C6)),(60/C6))&lt;(60/C6*C10),MOD((210/80*(60/C6)),(60/C6))&lt;C13),-ABS(C12)*SIN(PI()*MOD((210/80*(60/C6)),(60/C6))/C13),0)</f>
        <v/>
      </c>
      <c r="G241" s="25">
        <f>C7*(C11/(C8+C11))+(E241/1000)/C11+F241</f>
        <v/>
      </c>
      <c r="H241" s="25">
        <f>C241-G241</f>
        <v/>
      </c>
      <c r="I241" s="25">
        <f>C7+(E241/1000)/C8</f>
        <v/>
      </c>
    </row>
    <row r="242" ht="12.95" customHeight="1" s="44">
      <c r="B242" s="27">
        <f>(211/80*(60/C6))</f>
        <v/>
      </c>
      <c r="C242" s="27">
        <f>IF(MOD((211/80*(60/C6)),(60/C6))&lt;(60/C6*C10),C7+(IF(MOD((211/80*(60/C6)),(60/C6))&lt;(60/C6*C10),MIN(C5*MOD((211/80*(60/C6)),(60/C6)),C4),C4*EXP(-(MOD((211/80*(60/C6)),(60/C6))-(60/C6*C10))/(C9*C8))))/C8+C5*C9-F242,C7+(IF(MOD((211/80*(60/C6)),(60/C6))&lt;(60/C6*C10),MIN(C5*MOD((211/80*(60/C6)),(60/C6)),C4),C4*EXP(-(MOD((211/80*(60/C6)),(60/C6))-(60/C6*C10))/(C9*C8))))/C8)</f>
        <v/>
      </c>
      <c r="D242" s="27">
        <f>IF(MOD((211/80*(60/C6)),(60/C6))&lt;(60/C6*C10),C5*60,-(IF(MOD((211/80*(60/C6)),(60/C6))&lt;(60/C6*C10),MIN(C5*MOD((211/80*(60/C6)),(60/C6)),C4),C4*EXP(-(MOD((211/80*(60/C6)),(60/C6))-(60/C6*C10))/(C9*C8))))/(C9*C8)*60)</f>
        <v/>
      </c>
      <c r="E242" s="28">
        <f>(IF(MOD((211/80*(60/C6)),(60/C6))&lt;(60/C6*C10),MIN(C5*MOD((211/80*(60/C6)),(60/C6)),C4),C4*EXP(-(MOD((211/80*(60/C6)),(60/C6))-(60/C6*C10))/(C9*C8))))*1000</f>
        <v/>
      </c>
      <c r="F242" s="27">
        <f>IF(AND(MOD((211/80*(60/C6)),(60/C6))&lt;(60/C6*C10),MOD((211/80*(60/C6)),(60/C6))&lt;C13),-ABS(C12)*SIN(PI()*MOD((211/80*(60/C6)),(60/C6))/C13),0)</f>
        <v/>
      </c>
      <c r="G242" s="27">
        <f>C7*(C11/(C8+C11))+(E242/1000)/C11+F242</f>
        <v/>
      </c>
      <c r="H242" s="27">
        <f>C242-G242</f>
        <v/>
      </c>
      <c r="I242" s="27">
        <f>C7+(E242/1000)/C8</f>
        <v/>
      </c>
    </row>
    <row r="243" ht="12.95" customHeight="1" s="44">
      <c r="B243" s="25">
        <f>(212/80*(60/C6))</f>
        <v/>
      </c>
      <c r="C243" s="25">
        <f>IF(MOD((212/80*(60/C6)),(60/C6))&lt;(60/C6*C10),C7+(IF(MOD((212/80*(60/C6)),(60/C6))&lt;(60/C6*C10),MIN(C5*MOD((212/80*(60/C6)),(60/C6)),C4),C4*EXP(-(MOD((212/80*(60/C6)),(60/C6))-(60/C6*C10))/(C9*C8))))/C8+C5*C9-F243,C7+(IF(MOD((212/80*(60/C6)),(60/C6))&lt;(60/C6*C10),MIN(C5*MOD((212/80*(60/C6)),(60/C6)),C4),C4*EXP(-(MOD((212/80*(60/C6)),(60/C6))-(60/C6*C10))/(C9*C8))))/C8)</f>
        <v/>
      </c>
      <c r="D243" s="25">
        <f>IF(MOD((212/80*(60/C6)),(60/C6))&lt;(60/C6*C10),C5*60,-(IF(MOD((212/80*(60/C6)),(60/C6))&lt;(60/C6*C10),MIN(C5*MOD((212/80*(60/C6)),(60/C6)),C4),C4*EXP(-(MOD((212/80*(60/C6)),(60/C6))-(60/C6*C10))/(C9*C8))))/(C9*C8)*60)</f>
        <v/>
      </c>
      <c r="E243" s="26">
        <f>(IF(MOD((212/80*(60/C6)),(60/C6))&lt;(60/C6*C10),MIN(C5*MOD((212/80*(60/C6)),(60/C6)),C4),C4*EXP(-(MOD((212/80*(60/C6)),(60/C6))-(60/C6*C10))/(C9*C8))))*1000</f>
        <v/>
      </c>
      <c r="F243" s="25">
        <f>IF(AND(MOD((212/80*(60/C6)),(60/C6))&lt;(60/C6*C10),MOD((212/80*(60/C6)),(60/C6))&lt;C13),-ABS(C12)*SIN(PI()*MOD((212/80*(60/C6)),(60/C6))/C13),0)</f>
        <v/>
      </c>
      <c r="G243" s="25">
        <f>C7*(C11/(C8+C11))+(E243/1000)/C11+F243</f>
        <v/>
      </c>
      <c r="H243" s="25">
        <f>C243-G243</f>
        <v/>
      </c>
      <c r="I243" s="25">
        <f>C7+(E243/1000)/C8</f>
        <v/>
      </c>
    </row>
    <row r="244" ht="12.95" customHeight="1" s="44">
      <c r="B244" s="27">
        <f>(213/80*(60/C6))</f>
        <v/>
      </c>
      <c r="C244" s="27">
        <f>IF(MOD((213/80*(60/C6)),(60/C6))&lt;(60/C6*C10),C7+(IF(MOD((213/80*(60/C6)),(60/C6))&lt;(60/C6*C10),MIN(C5*MOD((213/80*(60/C6)),(60/C6)),C4),C4*EXP(-(MOD((213/80*(60/C6)),(60/C6))-(60/C6*C10))/(C9*C8))))/C8+C5*C9-F244,C7+(IF(MOD((213/80*(60/C6)),(60/C6))&lt;(60/C6*C10),MIN(C5*MOD((213/80*(60/C6)),(60/C6)),C4),C4*EXP(-(MOD((213/80*(60/C6)),(60/C6))-(60/C6*C10))/(C9*C8))))/C8)</f>
        <v/>
      </c>
      <c r="D244" s="27">
        <f>IF(MOD((213/80*(60/C6)),(60/C6))&lt;(60/C6*C10),C5*60,-(IF(MOD((213/80*(60/C6)),(60/C6))&lt;(60/C6*C10),MIN(C5*MOD((213/80*(60/C6)),(60/C6)),C4),C4*EXP(-(MOD((213/80*(60/C6)),(60/C6))-(60/C6*C10))/(C9*C8))))/(C9*C8)*60)</f>
        <v/>
      </c>
      <c r="E244" s="28">
        <f>(IF(MOD((213/80*(60/C6)),(60/C6))&lt;(60/C6*C10),MIN(C5*MOD((213/80*(60/C6)),(60/C6)),C4),C4*EXP(-(MOD((213/80*(60/C6)),(60/C6))-(60/C6*C10))/(C9*C8))))*1000</f>
        <v/>
      </c>
      <c r="F244" s="27">
        <f>IF(AND(MOD((213/80*(60/C6)),(60/C6))&lt;(60/C6*C10),MOD((213/80*(60/C6)),(60/C6))&lt;C13),-ABS(C12)*SIN(PI()*MOD((213/80*(60/C6)),(60/C6))/C13),0)</f>
        <v/>
      </c>
      <c r="G244" s="27">
        <f>C7*(C11/(C8+C11))+(E244/1000)/C11+F244</f>
        <v/>
      </c>
      <c r="H244" s="27">
        <f>C244-G244</f>
        <v/>
      </c>
      <c r="I244" s="27">
        <f>C7+(E244/1000)/C8</f>
        <v/>
      </c>
    </row>
    <row r="245" ht="12.95" customHeight="1" s="44">
      <c r="B245" s="25">
        <f>(214/80*(60/C6))</f>
        <v/>
      </c>
      <c r="C245" s="25">
        <f>IF(MOD((214/80*(60/C6)),(60/C6))&lt;(60/C6*C10),C7+(IF(MOD((214/80*(60/C6)),(60/C6))&lt;(60/C6*C10),MIN(C5*MOD((214/80*(60/C6)),(60/C6)),C4),C4*EXP(-(MOD((214/80*(60/C6)),(60/C6))-(60/C6*C10))/(C9*C8))))/C8+C5*C9-F245,C7+(IF(MOD((214/80*(60/C6)),(60/C6))&lt;(60/C6*C10),MIN(C5*MOD((214/80*(60/C6)),(60/C6)),C4),C4*EXP(-(MOD((214/80*(60/C6)),(60/C6))-(60/C6*C10))/(C9*C8))))/C8)</f>
        <v/>
      </c>
      <c r="D245" s="25">
        <f>IF(MOD((214/80*(60/C6)),(60/C6))&lt;(60/C6*C10),C5*60,-(IF(MOD((214/80*(60/C6)),(60/C6))&lt;(60/C6*C10),MIN(C5*MOD((214/80*(60/C6)),(60/C6)),C4),C4*EXP(-(MOD((214/80*(60/C6)),(60/C6))-(60/C6*C10))/(C9*C8))))/(C9*C8)*60)</f>
        <v/>
      </c>
      <c r="E245" s="26">
        <f>(IF(MOD((214/80*(60/C6)),(60/C6))&lt;(60/C6*C10),MIN(C5*MOD((214/80*(60/C6)),(60/C6)),C4),C4*EXP(-(MOD((214/80*(60/C6)),(60/C6))-(60/C6*C10))/(C9*C8))))*1000</f>
        <v/>
      </c>
      <c r="F245" s="25">
        <f>IF(AND(MOD((214/80*(60/C6)),(60/C6))&lt;(60/C6*C10),MOD((214/80*(60/C6)),(60/C6))&lt;C13),-ABS(C12)*SIN(PI()*MOD((214/80*(60/C6)),(60/C6))/C13),0)</f>
        <v/>
      </c>
      <c r="G245" s="25">
        <f>C7*(C11/(C8+C11))+(E245/1000)/C11+F245</f>
        <v/>
      </c>
      <c r="H245" s="25">
        <f>C245-G245</f>
        <v/>
      </c>
      <c r="I245" s="25">
        <f>C7+(E245/1000)/C8</f>
        <v/>
      </c>
    </row>
    <row r="246" ht="12.95" customHeight="1" s="44">
      <c r="B246" s="27">
        <f>(215/80*(60/C6))</f>
        <v/>
      </c>
      <c r="C246" s="27">
        <f>IF(MOD((215/80*(60/C6)),(60/C6))&lt;(60/C6*C10),C7+(IF(MOD((215/80*(60/C6)),(60/C6))&lt;(60/C6*C10),MIN(C5*MOD((215/80*(60/C6)),(60/C6)),C4),C4*EXP(-(MOD((215/80*(60/C6)),(60/C6))-(60/C6*C10))/(C9*C8))))/C8+C5*C9-F246,C7+(IF(MOD((215/80*(60/C6)),(60/C6))&lt;(60/C6*C10),MIN(C5*MOD((215/80*(60/C6)),(60/C6)),C4),C4*EXP(-(MOD((215/80*(60/C6)),(60/C6))-(60/C6*C10))/(C9*C8))))/C8)</f>
        <v/>
      </c>
      <c r="D246" s="27">
        <f>IF(MOD((215/80*(60/C6)),(60/C6))&lt;(60/C6*C10),C5*60,-(IF(MOD((215/80*(60/C6)),(60/C6))&lt;(60/C6*C10),MIN(C5*MOD((215/80*(60/C6)),(60/C6)),C4),C4*EXP(-(MOD((215/80*(60/C6)),(60/C6))-(60/C6*C10))/(C9*C8))))/(C9*C8)*60)</f>
        <v/>
      </c>
      <c r="E246" s="28">
        <f>(IF(MOD((215/80*(60/C6)),(60/C6))&lt;(60/C6*C10),MIN(C5*MOD((215/80*(60/C6)),(60/C6)),C4),C4*EXP(-(MOD((215/80*(60/C6)),(60/C6))-(60/C6*C10))/(C9*C8))))*1000</f>
        <v/>
      </c>
      <c r="F246" s="27">
        <f>IF(AND(MOD((215/80*(60/C6)),(60/C6))&lt;(60/C6*C10),MOD((215/80*(60/C6)),(60/C6))&lt;C13),-ABS(C12)*SIN(PI()*MOD((215/80*(60/C6)),(60/C6))/C13),0)</f>
        <v/>
      </c>
      <c r="G246" s="27">
        <f>C7*(C11/(C8+C11))+(E246/1000)/C11+F246</f>
        <v/>
      </c>
      <c r="H246" s="27">
        <f>C246-G246</f>
        <v/>
      </c>
      <c r="I246" s="27">
        <f>C7+(E246/1000)/C8</f>
        <v/>
      </c>
    </row>
    <row r="247" ht="12.95" customHeight="1" s="44">
      <c r="B247" s="25">
        <f>(216/80*(60/C6))</f>
        <v/>
      </c>
      <c r="C247" s="25">
        <f>IF(MOD((216/80*(60/C6)),(60/C6))&lt;(60/C6*C10),C7+(IF(MOD((216/80*(60/C6)),(60/C6))&lt;(60/C6*C10),MIN(C5*MOD((216/80*(60/C6)),(60/C6)),C4),C4*EXP(-(MOD((216/80*(60/C6)),(60/C6))-(60/C6*C10))/(C9*C8))))/C8+C5*C9-F247,C7+(IF(MOD((216/80*(60/C6)),(60/C6))&lt;(60/C6*C10),MIN(C5*MOD((216/80*(60/C6)),(60/C6)),C4),C4*EXP(-(MOD((216/80*(60/C6)),(60/C6))-(60/C6*C10))/(C9*C8))))/C8)</f>
        <v/>
      </c>
      <c r="D247" s="25">
        <f>IF(MOD((216/80*(60/C6)),(60/C6))&lt;(60/C6*C10),C5*60,-(IF(MOD((216/80*(60/C6)),(60/C6))&lt;(60/C6*C10),MIN(C5*MOD((216/80*(60/C6)),(60/C6)),C4),C4*EXP(-(MOD((216/80*(60/C6)),(60/C6))-(60/C6*C10))/(C9*C8))))/(C9*C8)*60)</f>
        <v/>
      </c>
      <c r="E247" s="26">
        <f>(IF(MOD((216/80*(60/C6)),(60/C6))&lt;(60/C6*C10),MIN(C5*MOD((216/80*(60/C6)),(60/C6)),C4),C4*EXP(-(MOD((216/80*(60/C6)),(60/C6))-(60/C6*C10))/(C9*C8))))*1000</f>
        <v/>
      </c>
      <c r="F247" s="25">
        <f>IF(AND(MOD((216/80*(60/C6)),(60/C6))&lt;(60/C6*C10),MOD((216/80*(60/C6)),(60/C6))&lt;C13),-ABS(C12)*SIN(PI()*MOD((216/80*(60/C6)),(60/C6))/C13),0)</f>
        <v/>
      </c>
      <c r="G247" s="25">
        <f>C7*(C11/(C8+C11))+(E247/1000)/C11+F247</f>
        <v/>
      </c>
      <c r="H247" s="25">
        <f>C247-G247</f>
        <v/>
      </c>
      <c r="I247" s="25">
        <f>C7+(E247/1000)/C8</f>
        <v/>
      </c>
    </row>
    <row r="248" ht="12.95" customHeight="1" s="44">
      <c r="B248" s="27">
        <f>(217/80*(60/C6))</f>
        <v/>
      </c>
      <c r="C248" s="27">
        <f>IF(MOD((217/80*(60/C6)),(60/C6))&lt;(60/C6*C10),C7+(IF(MOD((217/80*(60/C6)),(60/C6))&lt;(60/C6*C10),MIN(C5*MOD((217/80*(60/C6)),(60/C6)),C4),C4*EXP(-(MOD((217/80*(60/C6)),(60/C6))-(60/C6*C10))/(C9*C8))))/C8+C5*C9-F248,C7+(IF(MOD((217/80*(60/C6)),(60/C6))&lt;(60/C6*C10),MIN(C5*MOD((217/80*(60/C6)),(60/C6)),C4),C4*EXP(-(MOD((217/80*(60/C6)),(60/C6))-(60/C6*C10))/(C9*C8))))/C8)</f>
        <v/>
      </c>
      <c r="D248" s="27">
        <f>IF(MOD((217/80*(60/C6)),(60/C6))&lt;(60/C6*C10),C5*60,-(IF(MOD((217/80*(60/C6)),(60/C6))&lt;(60/C6*C10),MIN(C5*MOD((217/80*(60/C6)),(60/C6)),C4),C4*EXP(-(MOD((217/80*(60/C6)),(60/C6))-(60/C6*C10))/(C9*C8))))/(C9*C8)*60)</f>
        <v/>
      </c>
      <c r="E248" s="28">
        <f>(IF(MOD((217/80*(60/C6)),(60/C6))&lt;(60/C6*C10),MIN(C5*MOD((217/80*(60/C6)),(60/C6)),C4),C4*EXP(-(MOD((217/80*(60/C6)),(60/C6))-(60/C6*C10))/(C9*C8))))*1000</f>
        <v/>
      </c>
      <c r="F248" s="27">
        <f>IF(AND(MOD((217/80*(60/C6)),(60/C6))&lt;(60/C6*C10),MOD((217/80*(60/C6)),(60/C6))&lt;C13),-ABS(C12)*SIN(PI()*MOD((217/80*(60/C6)),(60/C6))/C13),0)</f>
        <v/>
      </c>
      <c r="G248" s="27">
        <f>C7*(C11/(C8+C11))+(E248/1000)/C11+F248</f>
        <v/>
      </c>
      <c r="H248" s="27">
        <f>C248-G248</f>
        <v/>
      </c>
      <c r="I248" s="27">
        <f>C7+(E248/1000)/C8</f>
        <v/>
      </c>
    </row>
    <row r="249" ht="12.95" customHeight="1" s="44">
      <c r="B249" s="25">
        <f>(218/80*(60/C6))</f>
        <v/>
      </c>
      <c r="C249" s="25">
        <f>IF(MOD((218/80*(60/C6)),(60/C6))&lt;(60/C6*C10),C7+(IF(MOD((218/80*(60/C6)),(60/C6))&lt;(60/C6*C10),MIN(C5*MOD((218/80*(60/C6)),(60/C6)),C4),C4*EXP(-(MOD((218/80*(60/C6)),(60/C6))-(60/C6*C10))/(C9*C8))))/C8+C5*C9-F249,C7+(IF(MOD((218/80*(60/C6)),(60/C6))&lt;(60/C6*C10),MIN(C5*MOD((218/80*(60/C6)),(60/C6)),C4),C4*EXP(-(MOD((218/80*(60/C6)),(60/C6))-(60/C6*C10))/(C9*C8))))/C8)</f>
        <v/>
      </c>
      <c r="D249" s="25">
        <f>IF(MOD((218/80*(60/C6)),(60/C6))&lt;(60/C6*C10),C5*60,-(IF(MOD((218/80*(60/C6)),(60/C6))&lt;(60/C6*C10),MIN(C5*MOD((218/80*(60/C6)),(60/C6)),C4),C4*EXP(-(MOD((218/80*(60/C6)),(60/C6))-(60/C6*C10))/(C9*C8))))/(C9*C8)*60)</f>
        <v/>
      </c>
      <c r="E249" s="26">
        <f>(IF(MOD((218/80*(60/C6)),(60/C6))&lt;(60/C6*C10),MIN(C5*MOD((218/80*(60/C6)),(60/C6)),C4),C4*EXP(-(MOD((218/80*(60/C6)),(60/C6))-(60/C6*C10))/(C9*C8))))*1000</f>
        <v/>
      </c>
      <c r="F249" s="25">
        <f>IF(AND(MOD((218/80*(60/C6)),(60/C6))&lt;(60/C6*C10),MOD((218/80*(60/C6)),(60/C6))&lt;C13),-ABS(C12)*SIN(PI()*MOD((218/80*(60/C6)),(60/C6))/C13),0)</f>
        <v/>
      </c>
      <c r="G249" s="25">
        <f>C7*(C11/(C8+C11))+(E249/1000)/C11+F249</f>
        <v/>
      </c>
      <c r="H249" s="25">
        <f>C249-G249</f>
        <v/>
      </c>
      <c r="I249" s="25">
        <f>C7+(E249/1000)/C8</f>
        <v/>
      </c>
    </row>
    <row r="250" ht="12.95" customHeight="1" s="44">
      <c r="B250" s="27">
        <f>(219/80*(60/C6))</f>
        <v/>
      </c>
      <c r="C250" s="27">
        <f>IF(MOD((219/80*(60/C6)),(60/C6))&lt;(60/C6*C10),C7+(IF(MOD((219/80*(60/C6)),(60/C6))&lt;(60/C6*C10),MIN(C5*MOD((219/80*(60/C6)),(60/C6)),C4),C4*EXP(-(MOD((219/80*(60/C6)),(60/C6))-(60/C6*C10))/(C9*C8))))/C8+C5*C9-F250,C7+(IF(MOD((219/80*(60/C6)),(60/C6))&lt;(60/C6*C10),MIN(C5*MOD((219/80*(60/C6)),(60/C6)),C4),C4*EXP(-(MOD((219/80*(60/C6)),(60/C6))-(60/C6*C10))/(C9*C8))))/C8)</f>
        <v/>
      </c>
      <c r="D250" s="27">
        <f>IF(MOD((219/80*(60/C6)),(60/C6))&lt;(60/C6*C10),C5*60,-(IF(MOD((219/80*(60/C6)),(60/C6))&lt;(60/C6*C10),MIN(C5*MOD((219/80*(60/C6)),(60/C6)),C4),C4*EXP(-(MOD((219/80*(60/C6)),(60/C6))-(60/C6*C10))/(C9*C8))))/(C9*C8)*60)</f>
        <v/>
      </c>
      <c r="E250" s="28">
        <f>(IF(MOD((219/80*(60/C6)),(60/C6))&lt;(60/C6*C10),MIN(C5*MOD((219/80*(60/C6)),(60/C6)),C4),C4*EXP(-(MOD((219/80*(60/C6)),(60/C6))-(60/C6*C10))/(C9*C8))))*1000</f>
        <v/>
      </c>
      <c r="F250" s="27">
        <f>IF(AND(MOD((219/80*(60/C6)),(60/C6))&lt;(60/C6*C10),MOD((219/80*(60/C6)),(60/C6))&lt;C13),-ABS(C12)*SIN(PI()*MOD((219/80*(60/C6)),(60/C6))/C13),0)</f>
        <v/>
      </c>
      <c r="G250" s="27">
        <f>C7*(C11/(C8+C11))+(E250/1000)/C11+F250</f>
        <v/>
      </c>
      <c r="H250" s="27">
        <f>C250-G250</f>
        <v/>
      </c>
      <c r="I250" s="27">
        <f>C7+(E250/1000)/C8</f>
        <v/>
      </c>
    </row>
    <row r="251" ht="12.95" customHeight="1" s="44">
      <c r="B251" s="25">
        <f>(220/80*(60/C6))</f>
        <v/>
      </c>
      <c r="C251" s="25">
        <f>IF(MOD((220/80*(60/C6)),(60/C6))&lt;(60/C6*C10),C7+(IF(MOD((220/80*(60/C6)),(60/C6))&lt;(60/C6*C10),MIN(C5*MOD((220/80*(60/C6)),(60/C6)),C4),C4*EXP(-(MOD((220/80*(60/C6)),(60/C6))-(60/C6*C10))/(C9*C8))))/C8+C5*C9-F251,C7+(IF(MOD((220/80*(60/C6)),(60/C6))&lt;(60/C6*C10),MIN(C5*MOD((220/80*(60/C6)),(60/C6)),C4),C4*EXP(-(MOD((220/80*(60/C6)),(60/C6))-(60/C6*C10))/(C9*C8))))/C8)</f>
        <v/>
      </c>
      <c r="D251" s="25">
        <f>IF(MOD((220/80*(60/C6)),(60/C6))&lt;(60/C6*C10),C5*60,-(IF(MOD((220/80*(60/C6)),(60/C6))&lt;(60/C6*C10),MIN(C5*MOD((220/80*(60/C6)),(60/C6)),C4),C4*EXP(-(MOD((220/80*(60/C6)),(60/C6))-(60/C6*C10))/(C9*C8))))/(C9*C8)*60)</f>
        <v/>
      </c>
      <c r="E251" s="26">
        <f>(IF(MOD((220/80*(60/C6)),(60/C6))&lt;(60/C6*C10),MIN(C5*MOD((220/80*(60/C6)),(60/C6)),C4),C4*EXP(-(MOD((220/80*(60/C6)),(60/C6))-(60/C6*C10))/(C9*C8))))*1000</f>
        <v/>
      </c>
      <c r="F251" s="25">
        <f>IF(AND(MOD((220/80*(60/C6)),(60/C6))&lt;(60/C6*C10),MOD((220/80*(60/C6)),(60/C6))&lt;C13),-ABS(C12)*SIN(PI()*MOD((220/80*(60/C6)),(60/C6))/C13),0)</f>
        <v/>
      </c>
      <c r="G251" s="25">
        <f>C7*(C11/(C8+C11))+(E251/1000)/C11+F251</f>
        <v/>
      </c>
      <c r="H251" s="25">
        <f>C251-G251</f>
        <v/>
      </c>
      <c r="I251" s="25">
        <f>C7+(E251/1000)/C8</f>
        <v/>
      </c>
    </row>
    <row r="252" ht="12.95" customHeight="1" s="44">
      <c r="B252" s="27">
        <f>(221/80*(60/C6))</f>
        <v/>
      </c>
      <c r="C252" s="27">
        <f>IF(MOD((221/80*(60/C6)),(60/C6))&lt;(60/C6*C10),C7+(IF(MOD((221/80*(60/C6)),(60/C6))&lt;(60/C6*C10),MIN(C5*MOD((221/80*(60/C6)),(60/C6)),C4),C4*EXP(-(MOD((221/80*(60/C6)),(60/C6))-(60/C6*C10))/(C9*C8))))/C8+C5*C9-F252,C7+(IF(MOD((221/80*(60/C6)),(60/C6))&lt;(60/C6*C10),MIN(C5*MOD((221/80*(60/C6)),(60/C6)),C4),C4*EXP(-(MOD((221/80*(60/C6)),(60/C6))-(60/C6*C10))/(C9*C8))))/C8)</f>
        <v/>
      </c>
      <c r="D252" s="27">
        <f>IF(MOD((221/80*(60/C6)),(60/C6))&lt;(60/C6*C10),C5*60,-(IF(MOD((221/80*(60/C6)),(60/C6))&lt;(60/C6*C10),MIN(C5*MOD((221/80*(60/C6)),(60/C6)),C4),C4*EXP(-(MOD((221/80*(60/C6)),(60/C6))-(60/C6*C10))/(C9*C8))))/(C9*C8)*60)</f>
        <v/>
      </c>
      <c r="E252" s="28">
        <f>(IF(MOD((221/80*(60/C6)),(60/C6))&lt;(60/C6*C10),MIN(C5*MOD((221/80*(60/C6)),(60/C6)),C4),C4*EXP(-(MOD((221/80*(60/C6)),(60/C6))-(60/C6*C10))/(C9*C8))))*1000</f>
        <v/>
      </c>
      <c r="F252" s="27">
        <f>IF(AND(MOD((221/80*(60/C6)),(60/C6))&lt;(60/C6*C10),MOD((221/80*(60/C6)),(60/C6))&lt;C13),-ABS(C12)*SIN(PI()*MOD((221/80*(60/C6)),(60/C6))/C13),0)</f>
        <v/>
      </c>
      <c r="G252" s="27">
        <f>C7*(C11/(C8+C11))+(E252/1000)/C11+F252</f>
        <v/>
      </c>
      <c r="H252" s="27">
        <f>C252-G252</f>
        <v/>
      </c>
      <c r="I252" s="27">
        <f>C7+(E252/1000)/C8</f>
        <v/>
      </c>
    </row>
    <row r="253" ht="12.95" customHeight="1" s="44">
      <c r="B253" s="25">
        <f>(222/80*(60/C6))</f>
        <v/>
      </c>
      <c r="C253" s="25">
        <f>IF(MOD((222/80*(60/C6)),(60/C6))&lt;(60/C6*C10),C7+(IF(MOD((222/80*(60/C6)),(60/C6))&lt;(60/C6*C10),MIN(C5*MOD((222/80*(60/C6)),(60/C6)),C4),C4*EXP(-(MOD((222/80*(60/C6)),(60/C6))-(60/C6*C10))/(C9*C8))))/C8+C5*C9-F253,C7+(IF(MOD((222/80*(60/C6)),(60/C6))&lt;(60/C6*C10),MIN(C5*MOD((222/80*(60/C6)),(60/C6)),C4),C4*EXP(-(MOD((222/80*(60/C6)),(60/C6))-(60/C6*C10))/(C9*C8))))/C8)</f>
        <v/>
      </c>
      <c r="D253" s="25">
        <f>IF(MOD((222/80*(60/C6)),(60/C6))&lt;(60/C6*C10),C5*60,-(IF(MOD((222/80*(60/C6)),(60/C6))&lt;(60/C6*C10),MIN(C5*MOD((222/80*(60/C6)),(60/C6)),C4),C4*EXP(-(MOD((222/80*(60/C6)),(60/C6))-(60/C6*C10))/(C9*C8))))/(C9*C8)*60)</f>
        <v/>
      </c>
      <c r="E253" s="26">
        <f>(IF(MOD((222/80*(60/C6)),(60/C6))&lt;(60/C6*C10),MIN(C5*MOD((222/80*(60/C6)),(60/C6)),C4),C4*EXP(-(MOD((222/80*(60/C6)),(60/C6))-(60/C6*C10))/(C9*C8))))*1000</f>
        <v/>
      </c>
      <c r="F253" s="25">
        <f>IF(AND(MOD((222/80*(60/C6)),(60/C6))&lt;(60/C6*C10),MOD((222/80*(60/C6)),(60/C6))&lt;C13),-ABS(C12)*SIN(PI()*MOD((222/80*(60/C6)),(60/C6))/C13),0)</f>
        <v/>
      </c>
      <c r="G253" s="25">
        <f>C7*(C11/(C8+C11))+(E253/1000)/C11+F253</f>
        <v/>
      </c>
      <c r="H253" s="25">
        <f>C253-G253</f>
        <v/>
      </c>
      <c r="I253" s="25">
        <f>C7+(E253/1000)/C8</f>
        <v/>
      </c>
    </row>
    <row r="254" ht="12.95" customHeight="1" s="44">
      <c r="B254" s="27">
        <f>(223/80*(60/C6))</f>
        <v/>
      </c>
      <c r="C254" s="27">
        <f>IF(MOD((223/80*(60/C6)),(60/C6))&lt;(60/C6*C10),C7+(IF(MOD((223/80*(60/C6)),(60/C6))&lt;(60/C6*C10),MIN(C5*MOD((223/80*(60/C6)),(60/C6)),C4),C4*EXP(-(MOD((223/80*(60/C6)),(60/C6))-(60/C6*C10))/(C9*C8))))/C8+C5*C9-F254,C7+(IF(MOD((223/80*(60/C6)),(60/C6))&lt;(60/C6*C10),MIN(C5*MOD((223/80*(60/C6)),(60/C6)),C4),C4*EXP(-(MOD((223/80*(60/C6)),(60/C6))-(60/C6*C10))/(C9*C8))))/C8)</f>
        <v/>
      </c>
      <c r="D254" s="27">
        <f>IF(MOD((223/80*(60/C6)),(60/C6))&lt;(60/C6*C10),C5*60,-(IF(MOD((223/80*(60/C6)),(60/C6))&lt;(60/C6*C10),MIN(C5*MOD((223/80*(60/C6)),(60/C6)),C4),C4*EXP(-(MOD((223/80*(60/C6)),(60/C6))-(60/C6*C10))/(C9*C8))))/(C9*C8)*60)</f>
        <v/>
      </c>
      <c r="E254" s="28">
        <f>(IF(MOD((223/80*(60/C6)),(60/C6))&lt;(60/C6*C10),MIN(C5*MOD((223/80*(60/C6)),(60/C6)),C4),C4*EXP(-(MOD((223/80*(60/C6)),(60/C6))-(60/C6*C10))/(C9*C8))))*1000</f>
        <v/>
      </c>
      <c r="F254" s="27">
        <f>IF(AND(MOD((223/80*(60/C6)),(60/C6))&lt;(60/C6*C10),MOD((223/80*(60/C6)),(60/C6))&lt;C13),-ABS(C12)*SIN(PI()*MOD((223/80*(60/C6)),(60/C6))/C13),0)</f>
        <v/>
      </c>
      <c r="G254" s="27">
        <f>C7*(C11/(C8+C11))+(E254/1000)/C11+F254</f>
        <v/>
      </c>
      <c r="H254" s="27">
        <f>C254-G254</f>
        <v/>
      </c>
      <c r="I254" s="27">
        <f>C7+(E254/1000)/C8</f>
        <v/>
      </c>
    </row>
    <row r="255" ht="12.95" customHeight="1" s="44">
      <c r="B255" s="25">
        <f>(224/80*(60/C6))</f>
        <v/>
      </c>
      <c r="C255" s="25">
        <f>IF(MOD((224/80*(60/C6)),(60/C6))&lt;(60/C6*C10),C7+(IF(MOD((224/80*(60/C6)),(60/C6))&lt;(60/C6*C10),MIN(C5*MOD((224/80*(60/C6)),(60/C6)),C4),C4*EXP(-(MOD((224/80*(60/C6)),(60/C6))-(60/C6*C10))/(C9*C8))))/C8+C5*C9-F255,C7+(IF(MOD((224/80*(60/C6)),(60/C6))&lt;(60/C6*C10),MIN(C5*MOD((224/80*(60/C6)),(60/C6)),C4),C4*EXP(-(MOD((224/80*(60/C6)),(60/C6))-(60/C6*C10))/(C9*C8))))/C8)</f>
        <v/>
      </c>
      <c r="D255" s="25">
        <f>IF(MOD((224/80*(60/C6)),(60/C6))&lt;(60/C6*C10),C5*60,-(IF(MOD((224/80*(60/C6)),(60/C6))&lt;(60/C6*C10),MIN(C5*MOD((224/80*(60/C6)),(60/C6)),C4),C4*EXP(-(MOD((224/80*(60/C6)),(60/C6))-(60/C6*C10))/(C9*C8))))/(C9*C8)*60)</f>
        <v/>
      </c>
      <c r="E255" s="26">
        <f>(IF(MOD((224/80*(60/C6)),(60/C6))&lt;(60/C6*C10),MIN(C5*MOD((224/80*(60/C6)),(60/C6)),C4),C4*EXP(-(MOD((224/80*(60/C6)),(60/C6))-(60/C6*C10))/(C9*C8))))*1000</f>
        <v/>
      </c>
      <c r="F255" s="25">
        <f>IF(AND(MOD((224/80*(60/C6)),(60/C6))&lt;(60/C6*C10),MOD((224/80*(60/C6)),(60/C6))&lt;C13),-ABS(C12)*SIN(PI()*MOD((224/80*(60/C6)),(60/C6))/C13),0)</f>
        <v/>
      </c>
      <c r="G255" s="25">
        <f>C7*(C11/(C8+C11))+(E255/1000)/C11+F255</f>
        <v/>
      </c>
      <c r="H255" s="25">
        <f>C255-G255</f>
        <v/>
      </c>
      <c r="I255" s="25">
        <f>C7+(E255/1000)/C8</f>
        <v/>
      </c>
    </row>
    <row r="256" ht="12.95" customHeight="1" s="44">
      <c r="B256" s="27">
        <f>(225/80*(60/C6))</f>
        <v/>
      </c>
      <c r="C256" s="27">
        <f>IF(MOD((225/80*(60/C6)),(60/C6))&lt;(60/C6*C10),C7+(IF(MOD((225/80*(60/C6)),(60/C6))&lt;(60/C6*C10),MIN(C5*MOD((225/80*(60/C6)),(60/C6)),C4),C4*EXP(-(MOD((225/80*(60/C6)),(60/C6))-(60/C6*C10))/(C9*C8))))/C8+C5*C9-F256,C7+(IF(MOD((225/80*(60/C6)),(60/C6))&lt;(60/C6*C10),MIN(C5*MOD((225/80*(60/C6)),(60/C6)),C4),C4*EXP(-(MOD((225/80*(60/C6)),(60/C6))-(60/C6*C10))/(C9*C8))))/C8)</f>
        <v/>
      </c>
      <c r="D256" s="27">
        <f>IF(MOD((225/80*(60/C6)),(60/C6))&lt;(60/C6*C10),C5*60,-(IF(MOD((225/80*(60/C6)),(60/C6))&lt;(60/C6*C10),MIN(C5*MOD((225/80*(60/C6)),(60/C6)),C4),C4*EXP(-(MOD((225/80*(60/C6)),(60/C6))-(60/C6*C10))/(C9*C8))))/(C9*C8)*60)</f>
        <v/>
      </c>
      <c r="E256" s="28">
        <f>(IF(MOD((225/80*(60/C6)),(60/C6))&lt;(60/C6*C10),MIN(C5*MOD((225/80*(60/C6)),(60/C6)),C4),C4*EXP(-(MOD((225/80*(60/C6)),(60/C6))-(60/C6*C10))/(C9*C8))))*1000</f>
        <v/>
      </c>
      <c r="F256" s="27">
        <f>IF(AND(MOD((225/80*(60/C6)),(60/C6))&lt;(60/C6*C10),MOD((225/80*(60/C6)),(60/C6))&lt;C13),-ABS(C12)*SIN(PI()*MOD((225/80*(60/C6)),(60/C6))/C13),0)</f>
        <v/>
      </c>
      <c r="G256" s="27">
        <f>C7*(C11/(C8+C11))+(E256/1000)/C11+F256</f>
        <v/>
      </c>
      <c r="H256" s="27">
        <f>C256-G256</f>
        <v/>
      </c>
      <c r="I256" s="27">
        <f>C7+(E256/1000)/C8</f>
        <v/>
      </c>
    </row>
    <row r="257" ht="12.95" customHeight="1" s="44">
      <c r="B257" s="25">
        <f>(226/80*(60/C6))</f>
        <v/>
      </c>
      <c r="C257" s="25">
        <f>IF(MOD((226/80*(60/C6)),(60/C6))&lt;(60/C6*C10),C7+(IF(MOD((226/80*(60/C6)),(60/C6))&lt;(60/C6*C10),MIN(C5*MOD((226/80*(60/C6)),(60/C6)),C4),C4*EXP(-(MOD((226/80*(60/C6)),(60/C6))-(60/C6*C10))/(C9*C8))))/C8+C5*C9-F257,C7+(IF(MOD((226/80*(60/C6)),(60/C6))&lt;(60/C6*C10),MIN(C5*MOD((226/80*(60/C6)),(60/C6)),C4),C4*EXP(-(MOD((226/80*(60/C6)),(60/C6))-(60/C6*C10))/(C9*C8))))/C8)</f>
        <v/>
      </c>
      <c r="D257" s="25">
        <f>IF(MOD((226/80*(60/C6)),(60/C6))&lt;(60/C6*C10),C5*60,-(IF(MOD((226/80*(60/C6)),(60/C6))&lt;(60/C6*C10),MIN(C5*MOD((226/80*(60/C6)),(60/C6)),C4),C4*EXP(-(MOD((226/80*(60/C6)),(60/C6))-(60/C6*C10))/(C9*C8))))/(C9*C8)*60)</f>
        <v/>
      </c>
      <c r="E257" s="26">
        <f>(IF(MOD((226/80*(60/C6)),(60/C6))&lt;(60/C6*C10),MIN(C5*MOD((226/80*(60/C6)),(60/C6)),C4),C4*EXP(-(MOD((226/80*(60/C6)),(60/C6))-(60/C6*C10))/(C9*C8))))*1000</f>
        <v/>
      </c>
      <c r="F257" s="25">
        <f>IF(AND(MOD((226/80*(60/C6)),(60/C6))&lt;(60/C6*C10),MOD((226/80*(60/C6)),(60/C6))&lt;C13),-ABS(C12)*SIN(PI()*MOD((226/80*(60/C6)),(60/C6))/C13),0)</f>
        <v/>
      </c>
      <c r="G257" s="25">
        <f>C7*(C11/(C8+C11))+(E257/1000)/C11+F257</f>
        <v/>
      </c>
      <c r="H257" s="25">
        <f>C257-G257</f>
        <v/>
      </c>
      <c r="I257" s="25">
        <f>C7+(E257/1000)/C8</f>
        <v/>
      </c>
    </row>
    <row r="258" ht="12.95" customHeight="1" s="44">
      <c r="B258" s="27">
        <f>(227/80*(60/C6))</f>
        <v/>
      </c>
      <c r="C258" s="27">
        <f>IF(MOD((227/80*(60/C6)),(60/C6))&lt;(60/C6*C10),C7+(IF(MOD((227/80*(60/C6)),(60/C6))&lt;(60/C6*C10),MIN(C5*MOD((227/80*(60/C6)),(60/C6)),C4),C4*EXP(-(MOD((227/80*(60/C6)),(60/C6))-(60/C6*C10))/(C9*C8))))/C8+C5*C9-F258,C7+(IF(MOD((227/80*(60/C6)),(60/C6))&lt;(60/C6*C10),MIN(C5*MOD((227/80*(60/C6)),(60/C6)),C4),C4*EXP(-(MOD((227/80*(60/C6)),(60/C6))-(60/C6*C10))/(C9*C8))))/C8)</f>
        <v/>
      </c>
      <c r="D258" s="27">
        <f>IF(MOD((227/80*(60/C6)),(60/C6))&lt;(60/C6*C10),C5*60,-(IF(MOD((227/80*(60/C6)),(60/C6))&lt;(60/C6*C10),MIN(C5*MOD((227/80*(60/C6)),(60/C6)),C4),C4*EXP(-(MOD((227/80*(60/C6)),(60/C6))-(60/C6*C10))/(C9*C8))))/(C9*C8)*60)</f>
        <v/>
      </c>
      <c r="E258" s="28">
        <f>(IF(MOD((227/80*(60/C6)),(60/C6))&lt;(60/C6*C10),MIN(C5*MOD((227/80*(60/C6)),(60/C6)),C4),C4*EXP(-(MOD((227/80*(60/C6)),(60/C6))-(60/C6*C10))/(C9*C8))))*1000</f>
        <v/>
      </c>
      <c r="F258" s="27">
        <f>IF(AND(MOD((227/80*(60/C6)),(60/C6))&lt;(60/C6*C10),MOD((227/80*(60/C6)),(60/C6))&lt;C13),-ABS(C12)*SIN(PI()*MOD((227/80*(60/C6)),(60/C6))/C13),0)</f>
        <v/>
      </c>
      <c r="G258" s="27">
        <f>C7*(C11/(C8+C11))+(E258/1000)/C11+F258</f>
        <v/>
      </c>
      <c r="H258" s="27">
        <f>C258-G258</f>
        <v/>
      </c>
      <c r="I258" s="27">
        <f>C7+(E258/1000)/C8</f>
        <v/>
      </c>
    </row>
    <row r="259" ht="12.95" customHeight="1" s="44">
      <c r="B259" s="25">
        <f>(228/80*(60/C6))</f>
        <v/>
      </c>
      <c r="C259" s="25">
        <f>IF(MOD((228/80*(60/C6)),(60/C6))&lt;(60/C6*C10),C7+(IF(MOD((228/80*(60/C6)),(60/C6))&lt;(60/C6*C10),MIN(C5*MOD((228/80*(60/C6)),(60/C6)),C4),C4*EXP(-(MOD((228/80*(60/C6)),(60/C6))-(60/C6*C10))/(C9*C8))))/C8+C5*C9-F259,C7+(IF(MOD((228/80*(60/C6)),(60/C6))&lt;(60/C6*C10),MIN(C5*MOD((228/80*(60/C6)),(60/C6)),C4),C4*EXP(-(MOD((228/80*(60/C6)),(60/C6))-(60/C6*C10))/(C9*C8))))/C8)</f>
        <v/>
      </c>
      <c r="D259" s="25">
        <f>IF(MOD((228/80*(60/C6)),(60/C6))&lt;(60/C6*C10),C5*60,-(IF(MOD((228/80*(60/C6)),(60/C6))&lt;(60/C6*C10),MIN(C5*MOD((228/80*(60/C6)),(60/C6)),C4),C4*EXP(-(MOD((228/80*(60/C6)),(60/C6))-(60/C6*C10))/(C9*C8))))/(C9*C8)*60)</f>
        <v/>
      </c>
      <c r="E259" s="26">
        <f>(IF(MOD((228/80*(60/C6)),(60/C6))&lt;(60/C6*C10),MIN(C5*MOD((228/80*(60/C6)),(60/C6)),C4),C4*EXP(-(MOD((228/80*(60/C6)),(60/C6))-(60/C6*C10))/(C9*C8))))*1000</f>
        <v/>
      </c>
      <c r="F259" s="25">
        <f>IF(AND(MOD((228/80*(60/C6)),(60/C6))&lt;(60/C6*C10),MOD((228/80*(60/C6)),(60/C6))&lt;C13),-ABS(C12)*SIN(PI()*MOD((228/80*(60/C6)),(60/C6))/C13),0)</f>
        <v/>
      </c>
      <c r="G259" s="25">
        <f>C7*(C11/(C8+C11))+(E259/1000)/C11+F259</f>
        <v/>
      </c>
      <c r="H259" s="25">
        <f>C259-G259</f>
        <v/>
      </c>
      <c r="I259" s="25">
        <f>C7+(E259/1000)/C8</f>
        <v/>
      </c>
    </row>
    <row r="260" ht="12.95" customHeight="1" s="44">
      <c r="B260" s="27">
        <f>(229/80*(60/C6))</f>
        <v/>
      </c>
      <c r="C260" s="27">
        <f>IF(MOD((229/80*(60/C6)),(60/C6))&lt;(60/C6*C10),C7+(IF(MOD((229/80*(60/C6)),(60/C6))&lt;(60/C6*C10),MIN(C5*MOD((229/80*(60/C6)),(60/C6)),C4),C4*EXP(-(MOD((229/80*(60/C6)),(60/C6))-(60/C6*C10))/(C9*C8))))/C8+C5*C9-F260,C7+(IF(MOD((229/80*(60/C6)),(60/C6))&lt;(60/C6*C10),MIN(C5*MOD((229/80*(60/C6)),(60/C6)),C4),C4*EXP(-(MOD((229/80*(60/C6)),(60/C6))-(60/C6*C10))/(C9*C8))))/C8)</f>
        <v/>
      </c>
      <c r="D260" s="27">
        <f>IF(MOD((229/80*(60/C6)),(60/C6))&lt;(60/C6*C10),C5*60,-(IF(MOD((229/80*(60/C6)),(60/C6))&lt;(60/C6*C10),MIN(C5*MOD((229/80*(60/C6)),(60/C6)),C4),C4*EXP(-(MOD((229/80*(60/C6)),(60/C6))-(60/C6*C10))/(C9*C8))))/(C9*C8)*60)</f>
        <v/>
      </c>
      <c r="E260" s="28">
        <f>(IF(MOD((229/80*(60/C6)),(60/C6))&lt;(60/C6*C10),MIN(C5*MOD((229/80*(60/C6)),(60/C6)),C4),C4*EXP(-(MOD((229/80*(60/C6)),(60/C6))-(60/C6*C10))/(C9*C8))))*1000</f>
        <v/>
      </c>
      <c r="F260" s="27">
        <f>IF(AND(MOD((229/80*(60/C6)),(60/C6))&lt;(60/C6*C10),MOD((229/80*(60/C6)),(60/C6))&lt;C13),-ABS(C12)*SIN(PI()*MOD((229/80*(60/C6)),(60/C6))/C13),0)</f>
        <v/>
      </c>
      <c r="G260" s="27">
        <f>C7*(C11/(C8+C11))+(E260/1000)/C11+F260</f>
        <v/>
      </c>
      <c r="H260" s="27">
        <f>C260-G260</f>
        <v/>
      </c>
      <c r="I260" s="27">
        <f>C7+(E260/1000)/C8</f>
        <v/>
      </c>
    </row>
    <row r="261" ht="12.95" customHeight="1" s="44">
      <c r="B261" s="25">
        <f>(230/80*(60/C6))</f>
        <v/>
      </c>
      <c r="C261" s="25">
        <f>IF(MOD((230/80*(60/C6)),(60/C6))&lt;(60/C6*C10),C7+(IF(MOD((230/80*(60/C6)),(60/C6))&lt;(60/C6*C10),MIN(C5*MOD((230/80*(60/C6)),(60/C6)),C4),C4*EXP(-(MOD((230/80*(60/C6)),(60/C6))-(60/C6*C10))/(C9*C8))))/C8+C5*C9-F261,C7+(IF(MOD((230/80*(60/C6)),(60/C6))&lt;(60/C6*C10),MIN(C5*MOD((230/80*(60/C6)),(60/C6)),C4),C4*EXP(-(MOD((230/80*(60/C6)),(60/C6))-(60/C6*C10))/(C9*C8))))/C8)</f>
        <v/>
      </c>
      <c r="D261" s="25">
        <f>IF(MOD((230/80*(60/C6)),(60/C6))&lt;(60/C6*C10),C5*60,-(IF(MOD((230/80*(60/C6)),(60/C6))&lt;(60/C6*C10),MIN(C5*MOD((230/80*(60/C6)),(60/C6)),C4),C4*EXP(-(MOD((230/80*(60/C6)),(60/C6))-(60/C6*C10))/(C9*C8))))/(C9*C8)*60)</f>
        <v/>
      </c>
      <c r="E261" s="26">
        <f>(IF(MOD((230/80*(60/C6)),(60/C6))&lt;(60/C6*C10),MIN(C5*MOD((230/80*(60/C6)),(60/C6)),C4),C4*EXP(-(MOD((230/80*(60/C6)),(60/C6))-(60/C6*C10))/(C9*C8))))*1000</f>
        <v/>
      </c>
      <c r="F261" s="25">
        <f>IF(AND(MOD((230/80*(60/C6)),(60/C6))&lt;(60/C6*C10),MOD((230/80*(60/C6)),(60/C6))&lt;C13),-ABS(C12)*SIN(PI()*MOD((230/80*(60/C6)),(60/C6))/C13),0)</f>
        <v/>
      </c>
      <c r="G261" s="25">
        <f>C7*(C11/(C8+C11))+(E261/1000)/C11+F261</f>
        <v/>
      </c>
      <c r="H261" s="25">
        <f>C261-G261</f>
        <v/>
      </c>
      <c r="I261" s="25">
        <f>C7+(E261/1000)/C8</f>
        <v/>
      </c>
    </row>
    <row r="262" ht="12.95" customHeight="1" s="44">
      <c r="B262" s="27">
        <f>(231/80*(60/C6))</f>
        <v/>
      </c>
      <c r="C262" s="27">
        <f>IF(MOD((231/80*(60/C6)),(60/C6))&lt;(60/C6*C10),C7+(IF(MOD((231/80*(60/C6)),(60/C6))&lt;(60/C6*C10),MIN(C5*MOD((231/80*(60/C6)),(60/C6)),C4),C4*EXP(-(MOD((231/80*(60/C6)),(60/C6))-(60/C6*C10))/(C9*C8))))/C8+C5*C9-F262,C7+(IF(MOD((231/80*(60/C6)),(60/C6))&lt;(60/C6*C10),MIN(C5*MOD((231/80*(60/C6)),(60/C6)),C4),C4*EXP(-(MOD((231/80*(60/C6)),(60/C6))-(60/C6*C10))/(C9*C8))))/C8)</f>
        <v/>
      </c>
      <c r="D262" s="27">
        <f>IF(MOD((231/80*(60/C6)),(60/C6))&lt;(60/C6*C10),C5*60,-(IF(MOD((231/80*(60/C6)),(60/C6))&lt;(60/C6*C10),MIN(C5*MOD((231/80*(60/C6)),(60/C6)),C4),C4*EXP(-(MOD((231/80*(60/C6)),(60/C6))-(60/C6*C10))/(C9*C8))))/(C9*C8)*60)</f>
        <v/>
      </c>
      <c r="E262" s="28">
        <f>(IF(MOD((231/80*(60/C6)),(60/C6))&lt;(60/C6*C10),MIN(C5*MOD((231/80*(60/C6)),(60/C6)),C4),C4*EXP(-(MOD((231/80*(60/C6)),(60/C6))-(60/C6*C10))/(C9*C8))))*1000</f>
        <v/>
      </c>
      <c r="F262" s="27">
        <f>IF(AND(MOD((231/80*(60/C6)),(60/C6))&lt;(60/C6*C10),MOD((231/80*(60/C6)),(60/C6))&lt;C13),-ABS(C12)*SIN(PI()*MOD((231/80*(60/C6)),(60/C6))/C13),0)</f>
        <v/>
      </c>
      <c r="G262" s="27">
        <f>C7*(C11/(C8+C11))+(E262/1000)/C11+F262</f>
        <v/>
      </c>
      <c r="H262" s="27">
        <f>C262-G262</f>
        <v/>
      </c>
      <c r="I262" s="27">
        <f>C7+(E262/1000)/C8</f>
        <v/>
      </c>
    </row>
    <row r="263" ht="12.95" customHeight="1" s="44">
      <c r="B263" s="25">
        <f>(232/80*(60/C6))</f>
        <v/>
      </c>
      <c r="C263" s="25">
        <f>IF(MOD((232/80*(60/C6)),(60/C6))&lt;(60/C6*C10),C7+(IF(MOD((232/80*(60/C6)),(60/C6))&lt;(60/C6*C10),MIN(C5*MOD((232/80*(60/C6)),(60/C6)),C4),C4*EXP(-(MOD((232/80*(60/C6)),(60/C6))-(60/C6*C10))/(C9*C8))))/C8+C5*C9-F263,C7+(IF(MOD((232/80*(60/C6)),(60/C6))&lt;(60/C6*C10),MIN(C5*MOD((232/80*(60/C6)),(60/C6)),C4),C4*EXP(-(MOD((232/80*(60/C6)),(60/C6))-(60/C6*C10))/(C9*C8))))/C8)</f>
        <v/>
      </c>
      <c r="D263" s="25">
        <f>IF(MOD((232/80*(60/C6)),(60/C6))&lt;(60/C6*C10),C5*60,-(IF(MOD((232/80*(60/C6)),(60/C6))&lt;(60/C6*C10),MIN(C5*MOD((232/80*(60/C6)),(60/C6)),C4),C4*EXP(-(MOD((232/80*(60/C6)),(60/C6))-(60/C6*C10))/(C9*C8))))/(C9*C8)*60)</f>
        <v/>
      </c>
      <c r="E263" s="26">
        <f>(IF(MOD((232/80*(60/C6)),(60/C6))&lt;(60/C6*C10),MIN(C5*MOD((232/80*(60/C6)),(60/C6)),C4),C4*EXP(-(MOD((232/80*(60/C6)),(60/C6))-(60/C6*C10))/(C9*C8))))*1000</f>
        <v/>
      </c>
      <c r="F263" s="25">
        <f>IF(AND(MOD((232/80*(60/C6)),(60/C6))&lt;(60/C6*C10),MOD((232/80*(60/C6)),(60/C6))&lt;C13),-ABS(C12)*SIN(PI()*MOD((232/80*(60/C6)),(60/C6))/C13),0)</f>
        <v/>
      </c>
      <c r="G263" s="25">
        <f>C7*(C11/(C8+C11))+(E263/1000)/C11+F263</f>
        <v/>
      </c>
      <c r="H263" s="25">
        <f>C263-G263</f>
        <v/>
      </c>
      <c r="I263" s="25">
        <f>C7+(E263/1000)/C8</f>
        <v/>
      </c>
    </row>
    <row r="264" ht="12.95" customHeight="1" s="44">
      <c r="B264" s="27">
        <f>(233/80*(60/C6))</f>
        <v/>
      </c>
      <c r="C264" s="27">
        <f>IF(MOD((233/80*(60/C6)),(60/C6))&lt;(60/C6*C10),C7+(IF(MOD((233/80*(60/C6)),(60/C6))&lt;(60/C6*C10),MIN(C5*MOD((233/80*(60/C6)),(60/C6)),C4),C4*EXP(-(MOD((233/80*(60/C6)),(60/C6))-(60/C6*C10))/(C9*C8))))/C8+C5*C9-F264,C7+(IF(MOD((233/80*(60/C6)),(60/C6))&lt;(60/C6*C10),MIN(C5*MOD((233/80*(60/C6)),(60/C6)),C4),C4*EXP(-(MOD((233/80*(60/C6)),(60/C6))-(60/C6*C10))/(C9*C8))))/C8)</f>
        <v/>
      </c>
      <c r="D264" s="27">
        <f>IF(MOD((233/80*(60/C6)),(60/C6))&lt;(60/C6*C10),C5*60,-(IF(MOD((233/80*(60/C6)),(60/C6))&lt;(60/C6*C10),MIN(C5*MOD((233/80*(60/C6)),(60/C6)),C4),C4*EXP(-(MOD((233/80*(60/C6)),(60/C6))-(60/C6*C10))/(C9*C8))))/(C9*C8)*60)</f>
        <v/>
      </c>
      <c r="E264" s="28">
        <f>(IF(MOD((233/80*(60/C6)),(60/C6))&lt;(60/C6*C10),MIN(C5*MOD((233/80*(60/C6)),(60/C6)),C4),C4*EXP(-(MOD((233/80*(60/C6)),(60/C6))-(60/C6*C10))/(C9*C8))))*1000</f>
        <v/>
      </c>
      <c r="F264" s="27">
        <f>IF(AND(MOD((233/80*(60/C6)),(60/C6))&lt;(60/C6*C10),MOD((233/80*(60/C6)),(60/C6))&lt;C13),-ABS(C12)*SIN(PI()*MOD((233/80*(60/C6)),(60/C6))/C13),0)</f>
        <v/>
      </c>
      <c r="G264" s="27">
        <f>C7*(C11/(C8+C11))+(E264/1000)/C11+F264</f>
        <v/>
      </c>
      <c r="H264" s="27">
        <f>C264-G264</f>
        <v/>
      </c>
      <c r="I264" s="27">
        <f>C7+(E264/1000)/C8</f>
        <v/>
      </c>
    </row>
    <row r="265" ht="12.95" customHeight="1" s="44">
      <c r="B265" s="25">
        <f>(234/80*(60/C6))</f>
        <v/>
      </c>
      <c r="C265" s="25">
        <f>IF(MOD((234/80*(60/C6)),(60/C6))&lt;(60/C6*C10),C7+(IF(MOD((234/80*(60/C6)),(60/C6))&lt;(60/C6*C10),MIN(C5*MOD((234/80*(60/C6)),(60/C6)),C4),C4*EXP(-(MOD((234/80*(60/C6)),(60/C6))-(60/C6*C10))/(C9*C8))))/C8+C5*C9-F265,C7+(IF(MOD((234/80*(60/C6)),(60/C6))&lt;(60/C6*C10),MIN(C5*MOD((234/80*(60/C6)),(60/C6)),C4),C4*EXP(-(MOD((234/80*(60/C6)),(60/C6))-(60/C6*C10))/(C9*C8))))/C8)</f>
        <v/>
      </c>
      <c r="D265" s="25">
        <f>IF(MOD((234/80*(60/C6)),(60/C6))&lt;(60/C6*C10),C5*60,-(IF(MOD((234/80*(60/C6)),(60/C6))&lt;(60/C6*C10),MIN(C5*MOD((234/80*(60/C6)),(60/C6)),C4),C4*EXP(-(MOD((234/80*(60/C6)),(60/C6))-(60/C6*C10))/(C9*C8))))/(C9*C8)*60)</f>
        <v/>
      </c>
      <c r="E265" s="26">
        <f>(IF(MOD((234/80*(60/C6)),(60/C6))&lt;(60/C6*C10),MIN(C5*MOD((234/80*(60/C6)),(60/C6)),C4),C4*EXP(-(MOD((234/80*(60/C6)),(60/C6))-(60/C6*C10))/(C9*C8))))*1000</f>
        <v/>
      </c>
      <c r="F265" s="25">
        <f>IF(AND(MOD((234/80*(60/C6)),(60/C6))&lt;(60/C6*C10),MOD((234/80*(60/C6)),(60/C6))&lt;C13),-ABS(C12)*SIN(PI()*MOD((234/80*(60/C6)),(60/C6))/C13),0)</f>
        <v/>
      </c>
      <c r="G265" s="25">
        <f>C7*(C11/(C8+C11))+(E265/1000)/C11+F265</f>
        <v/>
      </c>
      <c r="H265" s="25">
        <f>C265-G265</f>
        <v/>
      </c>
      <c r="I265" s="25">
        <f>C7+(E265/1000)/C8</f>
        <v/>
      </c>
    </row>
    <row r="266" ht="12.95" customHeight="1" s="44">
      <c r="B266" s="27">
        <f>(235/80*(60/C6))</f>
        <v/>
      </c>
      <c r="C266" s="27">
        <f>IF(MOD((235/80*(60/C6)),(60/C6))&lt;(60/C6*C10),C7+(IF(MOD((235/80*(60/C6)),(60/C6))&lt;(60/C6*C10),MIN(C5*MOD((235/80*(60/C6)),(60/C6)),C4),C4*EXP(-(MOD((235/80*(60/C6)),(60/C6))-(60/C6*C10))/(C9*C8))))/C8+C5*C9-F266,C7+(IF(MOD((235/80*(60/C6)),(60/C6))&lt;(60/C6*C10),MIN(C5*MOD((235/80*(60/C6)),(60/C6)),C4),C4*EXP(-(MOD((235/80*(60/C6)),(60/C6))-(60/C6*C10))/(C9*C8))))/C8)</f>
        <v/>
      </c>
      <c r="D266" s="27">
        <f>IF(MOD((235/80*(60/C6)),(60/C6))&lt;(60/C6*C10),C5*60,-(IF(MOD((235/80*(60/C6)),(60/C6))&lt;(60/C6*C10),MIN(C5*MOD((235/80*(60/C6)),(60/C6)),C4),C4*EXP(-(MOD((235/80*(60/C6)),(60/C6))-(60/C6*C10))/(C9*C8))))/(C9*C8)*60)</f>
        <v/>
      </c>
      <c r="E266" s="28">
        <f>(IF(MOD((235/80*(60/C6)),(60/C6))&lt;(60/C6*C10),MIN(C5*MOD((235/80*(60/C6)),(60/C6)),C4),C4*EXP(-(MOD((235/80*(60/C6)),(60/C6))-(60/C6*C10))/(C9*C8))))*1000</f>
        <v/>
      </c>
      <c r="F266" s="27">
        <f>IF(AND(MOD((235/80*(60/C6)),(60/C6))&lt;(60/C6*C10),MOD((235/80*(60/C6)),(60/C6))&lt;C13),-ABS(C12)*SIN(PI()*MOD((235/80*(60/C6)),(60/C6))/C13),0)</f>
        <v/>
      </c>
      <c r="G266" s="27">
        <f>C7*(C11/(C8+C11))+(E266/1000)/C11+F266</f>
        <v/>
      </c>
      <c r="H266" s="27">
        <f>C266-G266</f>
        <v/>
      </c>
      <c r="I266" s="27">
        <f>C7+(E266/1000)/C8</f>
        <v/>
      </c>
    </row>
    <row r="267" ht="12.95" customHeight="1" s="44">
      <c r="B267" s="25">
        <f>(236/80*(60/C6))</f>
        <v/>
      </c>
      <c r="C267" s="25">
        <f>IF(MOD((236/80*(60/C6)),(60/C6))&lt;(60/C6*C10),C7+(IF(MOD((236/80*(60/C6)),(60/C6))&lt;(60/C6*C10),MIN(C5*MOD((236/80*(60/C6)),(60/C6)),C4),C4*EXP(-(MOD((236/80*(60/C6)),(60/C6))-(60/C6*C10))/(C9*C8))))/C8+C5*C9-F267,C7+(IF(MOD((236/80*(60/C6)),(60/C6))&lt;(60/C6*C10),MIN(C5*MOD((236/80*(60/C6)),(60/C6)),C4),C4*EXP(-(MOD((236/80*(60/C6)),(60/C6))-(60/C6*C10))/(C9*C8))))/C8)</f>
        <v/>
      </c>
      <c r="D267" s="25">
        <f>IF(MOD((236/80*(60/C6)),(60/C6))&lt;(60/C6*C10),C5*60,-(IF(MOD((236/80*(60/C6)),(60/C6))&lt;(60/C6*C10),MIN(C5*MOD((236/80*(60/C6)),(60/C6)),C4),C4*EXP(-(MOD((236/80*(60/C6)),(60/C6))-(60/C6*C10))/(C9*C8))))/(C9*C8)*60)</f>
        <v/>
      </c>
      <c r="E267" s="26">
        <f>(IF(MOD((236/80*(60/C6)),(60/C6))&lt;(60/C6*C10),MIN(C5*MOD((236/80*(60/C6)),(60/C6)),C4),C4*EXP(-(MOD((236/80*(60/C6)),(60/C6))-(60/C6*C10))/(C9*C8))))*1000</f>
        <v/>
      </c>
      <c r="F267" s="25">
        <f>IF(AND(MOD((236/80*(60/C6)),(60/C6))&lt;(60/C6*C10),MOD((236/80*(60/C6)),(60/C6))&lt;C13),-ABS(C12)*SIN(PI()*MOD((236/80*(60/C6)),(60/C6))/C13),0)</f>
        <v/>
      </c>
      <c r="G267" s="25">
        <f>C7*(C11/(C8+C11))+(E267/1000)/C11+F267</f>
        <v/>
      </c>
      <c r="H267" s="25">
        <f>C267-G267</f>
        <v/>
      </c>
      <c r="I267" s="25">
        <f>C7+(E267/1000)/C8</f>
        <v/>
      </c>
    </row>
    <row r="268" ht="12.95" customHeight="1" s="44">
      <c r="B268" s="27">
        <f>(237/80*(60/C6))</f>
        <v/>
      </c>
      <c r="C268" s="27">
        <f>IF(MOD((237/80*(60/C6)),(60/C6))&lt;(60/C6*C10),C7+(IF(MOD((237/80*(60/C6)),(60/C6))&lt;(60/C6*C10),MIN(C5*MOD((237/80*(60/C6)),(60/C6)),C4),C4*EXP(-(MOD((237/80*(60/C6)),(60/C6))-(60/C6*C10))/(C9*C8))))/C8+C5*C9-F268,C7+(IF(MOD((237/80*(60/C6)),(60/C6))&lt;(60/C6*C10),MIN(C5*MOD((237/80*(60/C6)),(60/C6)),C4),C4*EXP(-(MOD((237/80*(60/C6)),(60/C6))-(60/C6*C10))/(C9*C8))))/C8)</f>
        <v/>
      </c>
      <c r="D268" s="27">
        <f>IF(MOD((237/80*(60/C6)),(60/C6))&lt;(60/C6*C10),C5*60,-(IF(MOD((237/80*(60/C6)),(60/C6))&lt;(60/C6*C10),MIN(C5*MOD((237/80*(60/C6)),(60/C6)),C4),C4*EXP(-(MOD((237/80*(60/C6)),(60/C6))-(60/C6*C10))/(C9*C8))))/(C9*C8)*60)</f>
        <v/>
      </c>
      <c r="E268" s="28">
        <f>(IF(MOD((237/80*(60/C6)),(60/C6))&lt;(60/C6*C10),MIN(C5*MOD((237/80*(60/C6)),(60/C6)),C4),C4*EXP(-(MOD((237/80*(60/C6)),(60/C6))-(60/C6*C10))/(C9*C8))))*1000</f>
        <v/>
      </c>
      <c r="F268" s="27">
        <f>IF(AND(MOD((237/80*(60/C6)),(60/C6))&lt;(60/C6*C10),MOD((237/80*(60/C6)),(60/C6))&lt;C13),-ABS(C12)*SIN(PI()*MOD((237/80*(60/C6)),(60/C6))/C13),0)</f>
        <v/>
      </c>
      <c r="G268" s="27">
        <f>C7*(C11/(C8+C11))+(E268/1000)/C11+F268</f>
        <v/>
      </c>
      <c r="H268" s="27">
        <f>C268-G268</f>
        <v/>
      </c>
      <c r="I268" s="27">
        <f>C7+(E268/1000)/C8</f>
        <v/>
      </c>
    </row>
    <row r="269" ht="12.95" customHeight="1" s="44">
      <c r="B269" s="25">
        <f>(238/80*(60/C6))</f>
        <v/>
      </c>
      <c r="C269" s="25">
        <f>IF(MOD((238/80*(60/C6)),(60/C6))&lt;(60/C6*C10),C7+(IF(MOD((238/80*(60/C6)),(60/C6))&lt;(60/C6*C10),MIN(C5*MOD((238/80*(60/C6)),(60/C6)),C4),C4*EXP(-(MOD((238/80*(60/C6)),(60/C6))-(60/C6*C10))/(C9*C8))))/C8+C5*C9-F269,C7+(IF(MOD((238/80*(60/C6)),(60/C6))&lt;(60/C6*C10),MIN(C5*MOD((238/80*(60/C6)),(60/C6)),C4),C4*EXP(-(MOD((238/80*(60/C6)),(60/C6))-(60/C6*C10))/(C9*C8))))/C8)</f>
        <v/>
      </c>
      <c r="D269" s="25">
        <f>IF(MOD((238/80*(60/C6)),(60/C6))&lt;(60/C6*C10),C5*60,-(IF(MOD((238/80*(60/C6)),(60/C6))&lt;(60/C6*C10),MIN(C5*MOD((238/80*(60/C6)),(60/C6)),C4),C4*EXP(-(MOD((238/80*(60/C6)),(60/C6))-(60/C6*C10))/(C9*C8))))/(C9*C8)*60)</f>
        <v/>
      </c>
      <c r="E269" s="26">
        <f>(IF(MOD((238/80*(60/C6)),(60/C6))&lt;(60/C6*C10),MIN(C5*MOD((238/80*(60/C6)),(60/C6)),C4),C4*EXP(-(MOD((238/80*(60/C6)),(60/C6))-(60/C6*C10))/(C9*C8))))*1000</f>
        <v/>
      </c>
      <c r="F269" s="25">
        <f>IF(AND(MOD((238/80*(60/C6)),(60/C6))&lt;(60/C6*C10),MOD((238/80*(60/C6)),(60/C6))&lt;C13),-ABS(C12)*SIN(PI()*MOD((238/80*(60/C6)),(60/C6))/C13),0)</f>
        <v/>
      </c>
      <c r="G269" s="25">
        <f>C7*(C11/(C8+C11))+(E269/1000)/C11+F269</f>
        <v/>
      </c>
      <c r="H269" s="25">
        <f>C269-G269</f>
        <v/>
      </c>
      <c r="I269" s="25">
        <f>C7+(E269/1000)/C8</f>
        <v/>
      </c>
    </row>
    <row r="270" ht="12.95" customHeight="1" s="44">
      <c r="B270" s="27">
        <f>(239/80*(60/C6))</f>
        <v/>
      </c>
      <c r="C270" s="27">
        <f>IF(MOD((239/80*(60/C6)),(60/C6))&lt;(60/C6*C10),C7+(IF(MOD((239/80*(60/C6)),(60/C6))&lt;(60/C6*C10),MIN(C5*MOD((239/80*(60/C6)),(60/C6)),C4),C4*EXP(-(MOD((239/80*(60/C6)),(60/C6))-(60/C6*C10))/(C9*C8))))/C8+C5*C9-F270,C7+(IF(MOD((239/80*(60/C6)),(60/C6))&lt;(60/C6*C10),MIN(C5*MOD((239/80*(60/C6)),(60/C6)),C4),C4*EXP(-(MOD((239/80*(60/C6)),(60/C6))-(60/C6*C10))/(C9*C8))))/C8)</f>
        <v/>
      </c>
      <c r="D270" s="27">
        <f>IF(MOD((239/80*(60/C6)),(60/C6))&lt;(60/C6*C10),C5*60,-(IF(MOD((239/80*(60/C6)),(60/C6))&lt;(60/C6*C10),MIN(C5*MOD((239/80*(60/C6)),(60/C6)),C4),C4*EXP(-(MOD((239/80*(60/C6)),(60/C6))-(60/C6*C10))/(C9*C8))))/(C9*C8)*60)</f>
        <v/>
      </c>
      <c r="E270" s="28">
        <f>(IF(MOD((239/80*(60/C6)),(60/C6))&lt;(60/C6*C10),MIN(C5*MOD((239/80*(60/C6)),(60/C6)),C4),C4*EXP(-(MOD((239/80*(60/C6)),(60/C6))-(60/C6*C10))/(C9*C8))))*1000</f>
        <v/>
      </c>
      <c r="F270" s="27">
        <f>IF(AND(MOD((239/80*(60/C6)),(60/C6))&lt;(60/C6*C10),MOD((239/80*(60/C6)),(60/C6))&lt;C13),-ABS(C12)*SIN(PI()*MOD((239/80*(60/C6)),(60/C6))/C13),0)</f>
        <v/>
      </c>
      <c r="G270" s="27">
        <f>C7*(C11/(C8+C11))+(E270/1000)/C11+F270</f>
        <v/>
      </c>
      <c r="H270" s="27">
        <f>C270-G270</f>
        <v/>
      </c>
      <c r="I270" s="27">
        <f>C7+(E270/1000)/C8</f>
        <v/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4">
    <mergeCell ref="B15:E15"/>
    <mergeCell ref="B1:O1"/>
    <mergeCell ref="B2:O2"/>
    <mergeCell ref="B29:I29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1:O267"/>
  <sheetViews>
    <sheetView showGridLines="0" workbookViewId="0">
      <selection activeCell="G23" sqref="G23"/>
    </sheetView>
  </sheetViews>
  <sheetFormatPr baseColWidth="8" defaultRowHeight="15"/>
  <cols>
    <col width="2" customWidth="1" style="44" min="1" max="1"/>
    <col width="30" customWidth="1" style="44" min="2" max="2"/>
    <col width="14" customWidth="1" style="44" min="3" max="4"/>
    <col width="40" customWidth="1" style="44" min="5" max="5"/>
    <col width="2" customWidth="1" style="44" min="6" max="6"/>
    <col width="22" customWidth="1" style="44" min="7" max="16"/>
  </cols>
  <sheetData>
    <row r="1" ht="27.95" customHeight="1" s="44">
      <c r="B1" s="48" t="inlineStr">
        <is>
          <t xml:space="preserve">  PCV — Pressure Controlled Ventilation</t>
        </is>
      </c>
    </row>
    <row r="2" ht="18" customHeight="1" s="44">
      <c r="B2" s="51" t="inlineStr">
        <is>
          <t>Change YELLOW cells → All 3 breath cycles update instantly  |  cmH2O · mL · L/min</t>
        </is>
      </c>
    </row>
    <row r="3" ht="20.1" customHeight="1" s="44">
      <c r="B3" s="11" t="inlineStr">
        <is>
          <t>Parameter</t>
        </is>
      </c>
      <c r="C3" s="11" t="inlineStr">
        <is>
          <t>Value</t>
        </is>
      </c>
      <c r="D3" s="11" t="inlineStr">
        <is>
          <t>Unit</t>
        </is>
      </c>
      <c r="E3" s="11" t="inlineStr">
        <is>
          <t>Description</t>
        </is>
      </c>
    </row>
    <row r="4" ht="20.1" customHeight="1" s="44">
      <c r="B4" s="12" t="inlineStr">
        <is>
          <t>Driving Pressure (Pcontrol)</t>
        </is>
      </c>
      <c r="C4" s="13" t="n">
        <v>15</v>
      </c>
      <c r="D4" s="14" t="inlineStr">
        <is>
          <t>cmH2O</t>
        </is>
      </c>
      <c r="E4" s="15" t="inlineStr">
        <is>
          <t>Pressure above PEEP (5–40 cmH2O)</t>
        </is>
      </c>
    </row>
    <row r="5" ht="20.1" customHeight="1" s="44">
      <c r="B5" s="12" t="inlineStr">
        <is>
          <t>Respiratory Rate (RR)</t>
        </is>
      </c>
      <c r="C5" s="13" t="n">
        <v>15</v>
      </c>
      <c r="D5" s="14" t="inlineStr">
        <is>
          <t>br/min</t>
        </is>
      </c>
      <c r="E5" s="15" t="inlineStr">
        <is>
          <t>Breaths per minute (8–35)</t>
        </is>
      </c>
    </row>
    <row r="6" ht="20.1" customHeight="1" s="44">
      <c r="B6" s="12" t="inlineStr">
        <is>
          <t>PEEP</t>
        </is>
      </c>
      <c r="C6" s="13" t="n">
        <v>5</v>
      </c>
      <c r="D6" s="14" t="inlineStr">
        <is>
          <t>cmH2O</t>
        </is>
      </c>
      <c r="E6" s="15" t="inlineStr">
        <is>
          <t>Positive end-expiratory pressure</t>
        </is>
      </c>
    </row>
    <row r="7" ht="20.1" customHeight="1" s="44">
      <c r="B7" s="12" t="inlineStr">
        <is>
          <t>Compliance (C)</t>
        </is>
      </c>
      <c r="C7" s="13" t="n">
        <v>0.05</v>
      </c>
      <c r="D7" s="14" t="inlineStr">
        <is>
          <t>L/cmH2O</t>
        </is>
      </c>
      <c r="E7" s="15" t="inlineStr">
        <is>
          <t>Respiratory system compliance</t>
        </is>
      </c>
    </row>
    <row r="8" ht="20.1" customHeight="1" s="44">
      <c r="B8" s="12" t="inlineStr">
        <is>
          <t>Resistance (R)</t>
        </is>
      </c>
      <c r="C8" s="13" t="n">
        <v>5</v>
      </c>
      <c r="D8" s="14" t="inlineStr">
        <is>
          <t>cmH2O/L/s</t>
        </is>
      </c>
      <c r="E8" s="15" t="inlineStr">
        <is>
          <t>Airway resistance</t>
        </is>
      </c>
    </row>
    <row r="9" ht="20.1" customHeight="1" s="44">
      <c r="B9" s="12" t="inlineStr">
        <is>
          <t>I:E fraction (Ti/Ttot)</t>
        </is>
      </c>
      <c r="C9" s="13" t="n">
        <v>0.33</v>
      </c>
      <c r="D9" s="14" t="inlineStr">
        <is>
          <t>fraction</t>
        </is>
      </c>
      <c r="E9" s="15" t="inlineStr">
        <is>
          <t>Inspiratory fraction (0.2–0.5)</t>
        </is>
      </c>
    </row>
    <row r="10" ht="20.1" customHeight="1" s="44">
      <c r="B10" s="12" t="inlineStr">
        <is>
          <t>Chest Wall Compliance (Ccw)</t>
        </is>
      </c>
      <c r="C10" s="13" t="n">
        <v>0.2</v>
      </c>
      <c r="D10" s="14" t="inlineStr">
        <is>
          <t>L/cmH2O</t>
        </is>
      </c>
      <c r="E10" s="15" t="inlineStr">
        <is>
          <t>Chest wall compliance</t>
        </is>
      </c>
    </row>
    <row r="11" ht="20.1" customHeight="1" s="44">
      <c r="B11" s="12" t="inlineStr">
        <is>
          <t>Pmus peak (effort)</t>
        </is>
      </c>
      <c r="C11" s="13" t="n">
        <v>8</v>
      </c>
      <c r="D11" s="14" t="inlineStr">
        <is>
          <t>cmH2O</t>
        </is>
      </c>
      <c r="E11" s="15" t="inlineStr">
        <is>
          <t>Inspiratory effort (0=passive, 8=active)</t>
        </is>
      </c>
    </row>
    <row r="12" ht="20.1" customHeight="1" s="44">
      <c r="B12" s="12" t="inlineStr">
        <is>
          <t>Pmus duration</t>
        </is>
      </c>
      <c r="C12" s="13" t="n">
        <v>1</v>
      </c>
      <c r="D12" s="14" t="inlineStr">
        <is>
          <t>s</t>
        </is>
      </c>
      <c r="E12" s="15" t="inlineStr">
        <is>
          <t>Duration of inspiratory effort in seconds</t>
        </is>
      </c>
    </row>
    <row r="14" ht="21.95" customHeight="1" s="44">
      <c r="B14" s="47" t="inlineStr">
        <is>
          <t>DERIVED PARAMETERS  (auto-calculated)</t>
        </is>
      </c>
    </row>
    <row r="15" ht="20.1" customHeight="1" s="44">
      <c r="B15" s="12" t="inlineStr">
        <is>
          <t>Total Cycle Time (Ttot)</t>
        </is>
      </c>
      <c r="C15" s="16">
        <f>60/C5</f>
        <v/>
      </c>
      <c r="D15" s="14" t="inlineStr">
        <is>
          <t>s</t>
        </is>
      </c>
      <c r="E15" s="15" t="inlineStr">
        <is>
          <t>60/RR</t>
        </is>
      </c>
    </row>
    <row r="16" ht="20.1" customHeight="1" s="44">
      <c r="B16" s="12" t="inlineStr">
        <is>
          <t>Inspiratory Time (Ti)</t>
        </is>
      </c>
      <c r="C16" s="16">
        <f>(60/C5)*C9</f>
        <v/>
      </c>
      <c r="D16" s="14" t="inlineStr">
        <is>
          <t>s</t>
        </is>
      </c>
      <c r="E16" s="15" t="inlineStr">
        <is>
          <t>Ttot × IE_fraction</t>
        </is>
      </c>
    </row>
    <row r="17" ht="20.1" customHeight="1" s="44">
      <c r="B17" s="12" t="inlineStr">
        <is>
          <t>Expiratory Time (Te)</t>
        </is>
      </c>
      <c r="C17" s="16">
        <f>(60/C5)*(1-C9)</f>
        <v/>
      </c>
      <c r="D17" s="14" t="inlineStr">
        <is>
          <t>s</t>
        </is>
      </c>
      <c r="E17" s="15" t="inlineStr">
        <is>
          <t>Ttot × (1−IE_fraction)</t>
        </is>
      </c>
    </row>
    <row r="18" ht="20.1" customHeight="1" s="44">
      <c r="B18" s="12" t="inlineStr">
        <is>
          <t>I:E Ratio</t>
        </is>
      </c>
      <c r="C18" s="16">
        <f>C9/(1-C9)</f>
        <v/>
      </c>
      <c r="D18" s="14" t="inlineStr">
        <is>
          <t>ratio</t>
        </is>
      </c>
      <c r="E18" s="15" t="inlineStr">
        <is>
          <t>Ti / Te</t>
        </is>
      </c>
    </row>
    <row r="19" ht="20.1" customHeight="1" s="44">
      <c r="B19" s="12" t="inlineStr">
        <is>
          <t>Peak Airway Pressure</t>
        </is>
      </c>
      <c r="C19" s="16">
        <f>C6+C4</f>
        <v/>
      </c>
      <c r="D19" s="14" t="inlineStr">
        <is>
          <t>cmH2O</t>
        </is>
      </c>
      <c r="E19" s="15" t="inlineStr">
        <is>
          <t>PEEP + Pcontrol</t>
        </is>
      </c>
    </row>
    <row r="20" ht="20.1" customHeight="1" s="44">
      <c r="B20" s="12" t="inlineStr">
        <is>
          <t>Time Constant (τ=R×C)</t>
        </is>
      </c>
      <c r="C20" s="16">
        <f>C8*C7</f>
        <v/>
      </c>
      <c r="D20" s="14" t="inlineStr">
        <is>
          <t>s</t>
        </is>
      </c>
      <c r="E20" s="15" t="inlineStr">
        <is>
          <t>Expiratory time constant</t>
        </is>
      </c>
    </row>
    <row r="21" ht="20.1" customHeight="1" s="44">
      <c r="B21" s="12" t="inlineStr">
        <is>
          <t>Achieved Vt (L)</t>
        </is>
      </c>
      <c r="C21" s="16">
        <f>C4*C7*(1-EXP(-C9*60/C5/(C8*C7)))</f>
        <v/>
      </c>
      <c r="D21" s="14" t="inlineStr">
        <is>
          <t>L</t>
        </is>
      </c>
      <c r="E21" s="15" t="inlineStr">
        <is>
          <t>Pcontrol×C×(1−e^(−Ti/τ))</t>
        </is>
      </c>
    </row>
    <row r="22" ht="20.1" customHeight="1" s="44">
      <c r="B22" s="12" t="inlineStr">
        <is>
          <t>Achieved Vt (mL)</t>
        </is>
      </c>
      <c r="C22" s="16">
        <f>C4*C7*(1-EXP(-C9*60/C5/(C8*C7)))*1000</f>
        <v/>
      </c>
      <c r="D22" s="14" t="inlineStr">
        <is>
          <t>mL</t>
        </is>
      </c>
      <c r="E22" s="15" t="inlineStr">
        <is>
          <t>×1000</t>
        </is>
      </c>
    </row>
    <row r="23" ht="20.1" customHeight="1" s="44">
      <c r="B23" s="12" t="inlineStr">
        <is>
          <t>Pes baseline</t>
        </is>
      </c>
      <c r="C23" s="16">
        <f>C6*(C10/(C7+C10))</f>
        <v/>
      </c>
      <c r="D23" s="14" t="inlineStr">
        <is>
          <t>cmH2O</t>
        </is>
      </c>
      <c r="E23" s="15" t="inlineStr">
        <is>
          <t>PEEP fraction to pleural space</t>
        </is>
      </c>
    </row>
    <row r="24" ht="20.1" customHeight="1" s="44">
      <c r="B24" s="12" t="inlineStr">
        <is>
          <t>Elastance (1/C)</t>
        </is>
      </c>
      <c r="C24" s="16">
        <f>1/C7</f>
        <v/>
      </c>
      <c r="D24" s="14" t="inlineStr">
        <is>
          <t>cmH2O/L</t>
        </is>
      </c>
      <c r="E24" s="15" t="inlineStr">
        <is>
          <t>Reciprocal of compliance</t>
        </is>
      </c>
    </row>
    <row r="26" ht="20.1" customHeight="1" s="44">
      <c r="B26" s="50" t="inlineStr">
        <is>
          <t>WAVEFORM DATA — 3 BREATH CYCLES × 80 points = 240 rows  (formulas update automatically)</t>
        </is>
      </c>
    </row>
    <row r="27" ht="18" customHeight="1" s="44">
      <c r="B27" s="17" t="inlineStr">
        <is>
          <t>Time (s)</t>
        </is>
      </c>
      <c r="C27" s="18" t="inlineStr">
        <is>
          <t>Paw (cmH2O)</t>
        </is>
      </c>
      <c r="D27" s="19" t="inlineStr">
        <is>
          <t>Flow (L/min)</t>
        </is>
      </c>
      <c r="E27" s="20" t="inlineStr">
        <is>
          <t>Volume (mL)</t>
        </is>
      </c>
      <c r="F27" s="21" t="inlineStr">
        <is>
          <t>Pmus (cmH2O)</t>
        </is>
      </c>
      <c r="G27" s="22" t="inlineStr">
        <is>
          <t>Pes (cmH2O)</t>
        </is>
      </c>
      <c r="H27" s="23" t="inlineStr">
        <is>
          <t>PL (cmH2O)</t>
        </is>
      </c>
      <c r="I27" s="24" t="inlineStr">
        <is>
          <t>Palv (cmH2O)</t>
        </is>
      </c>
    </row>
    <row r="28" ht="12.95" customHeight="1" s="44">
      <c r="B28" s="25">
        <f>(0/80*(60/C5))</f>
        <v/>
      </c>
      <c r="C28" s="25">
        <f>IF(MOD((0/80*(60/C5)),(60/C5))&lt;(60/C5*C9),C6+C4,C6)</f>
        <v/>
      </c>
      <c r="D28" s="25">
        <f>IF(MOD((0/80*(60/C5)),(60/C5))&lt;(60/C5*C9),(C4/C8)*EXP(-MOD((0/80*(60/C5)),(60/C5))/(C8*C7))*60,-((C4*C7*(1-EXP(-(60/C5*C9)/(C8*C7))))/(C8*C7))*EXP(-(MOD((0/80*(60/C5)),(60/C5))-(60/C5*C9))/(C8*C7))*60)</f>
        <v/>
      </c>
      <c r="E28" s="26">
        <f>(IF(MOD((0/80*(60/C5)),(60/C5))&lt;(60/C5*C9),C4*C7*(1-EXP(-MOD((0/80*(60/C5)),(60/C5))/(C8*C7))),(C4*C7*(1-EXP(-(60/C5*C9)/(C8*C7))))*EXP(-(MOD((0/80*(60/C5)),(60/C5))-(60/C5*C9))/(C8*C7))))*1000</f>
        <v/>
      </c>
      <c r="F28" s="25">
        <f>IF(AND(MOD((0/80*(60/C5)),(60/C5))&lt;(60/C5*C9),MOD((0/80*(60/C5)),(60/C5))&lt;C12),-ABS(C11)*SIN(PI()*MOD((0/80*(60/C5)),(60/C5))/C12),0)</f>
        <v/>
      </c>
      <c r="G28" s="25">
        <f>C6*(C10/(C7+C10))+(E28/1000)/C10+F28</f>
        <v/>
      </c>
      <c r="H28" s="25">
        <f>C28-G28</f>
        <v/>
      </c>
      <c r="I28" s="25">
        <f>C6+(E28/1000)/C7</f>
        <v/>
      </c>
    </row>
    <row r="29" ht="12.95" customHeight="1" s="44">
      <c r="B29" s="27">
        <f>(1/80*(60/C5))</f>
        <v/>
      </c>
      <c r="C29" s="27">
        <f>IF(MOD((1/80*(60/C5)),(60/C5))&lt;(60/C5*C9),C6+C4,C6)</f>
        <v/>
      </c>
      <c r="D29" s="27">
        <f>IF(MOD((1/80*(60/C5)),(60/C5))&lt;(60/C5*C9),(C4/C8)*EXP(-MOD((1/80*(60/C5)),(60/C5))/(C8*C7))*60,-((C4*C7*(1-EXP(-(60/C5*C9)/(C8*C7))))/(C8*C7))*EXP(-(MOD((1/80*(60/C5)),(60/C5))-(60/C5*C9))/(C8*C7))*60)</f>
        <v/>
      </c>
      <c r="E29" s="28">
        <f>(IF(MOD((1/80*(60/C5)),(60/C5))&lt;(60/C5*C9),C4*C7*(1-EXP(-MOD((1/80*(60/C5)),(60/C5))/(C8*C7))),(C4*C7*(1-EXP(-(60/C5*C9)/(C8*C7))))*EXP(-(MOD((1/80*(60/C5)),(60/C5))-(60/C5*C9))/(C8*C7))))*1000</f>
        <v/>
      </c>
      <c r="F29" s="27">
        <f>IF(AND(MOD((1/80*(60/C5)),(60/C5))&lt;(60/C5*C9),MOD((1/80*(60/C5)),(60/C5))&lt;C12),-ABS(C11)*SIN(PI()*MOD((1/80*(60/C5)),(60/C5))/C12),0)</f>
        <v/>
      </c>
      <c r="G29" s="27">
        <f>C6*(C10/(C7+C10))+(E29/1000)/C10+F29</f>
        <v/>
      </c>
      <c r="H29" s="27">
        <f>C29-G29</f>
        <v/>
      </c>
      <c r="I29" s="27">
        <f>C6+(E29/1000)/C7</f>
        <v/>
      </c>
    </row>
    <row r="30" ht="12.95" customHeight="1" s="44">
      <c r="B30" s="25">
        <f>(2/80*(60/C5))</f>
        <v/>
      </c>
      <c r="C30" s="25">
        <f>IF(MOD((2/80*(60/C5)),(60/C5))&lt;(60/C5*C9),C6+C4,C6)</f>
        <v/>
      </c>
      <c r="D30" s="25">
        <f>IF(MOD((2/80*(60/C5)),(60/C5))&lt;(60/C5*C9),(C4/C8)*EXP(-MOD((2/80*(60/C5)),(60/C5))/(C8*C7))*60,-((C4*C7*(1-EXP(-(60/C5*C9)/(C8*C7))))/(C8*C7))*EXP(-(MOD((2/80*(60/C5)),(60/C5))-(60/C5*C9))/(C8*C7))*60)</f>
        <v/>
      </c>
      <c r="E30" s="26">
        <f>(IF(MOD((2/80*(60/C5)),(60/C5))&lt;(60/C5*C9),C4*C7*(1-EXP(-MOD((2/80*(60/C5)),(60/C5))/(C8*C7))),(C4*C7*(1-EXP(-(60/C5*C9)/(C8*C7))))*EXP(-(MOD((2/80*(60/C5)),(60/C5))-(60/C5*C9))/(C8*C7))))*1000</f>
        <v/>
      </c>
      <c r="F30" s="25">
        <f>IF(AND(MOD((2/80*(60/C5)),(60/C5))&lt;(60/C5*C9),MOD((2/80*(60/C5)),(60/C5))&lt;C12),-ABS(C11)*SIN(PI()*MOD((2/80*(60/C5)),(60/C5))/C12),0)</f>
        <v/>
      </c>
      <c r="G30" s="25">
        <f>C6*(C10/(C7+C10))+(E30/1000)/C10+F30</f>
        <v/>
      </c>
      <c r="H30" s="25">
        <f>C30-G30</f>
        <v/>
      </c>
      <c r="I30" s="25">
        <f>C6+(E30/1000)/C7</f>
        <v/>
      </c>
    </row>
    <row r="31" ht="12.95" customHeight="1" s="44">
      <c r="B31" s="27">
        <f>(3/80*(60/C5))</f>
        <v/>
      </c>
      <c r="C31" s="27">
        <f>IF(MOD((3/80*(60/C5)),(60/C5))&lt;(60/C5*C9),C6+C4,C6)</f>
        <v/>
      </c>
      <c r="D31" s="27">
        <f>IF(MOD((3/80*(60/C5)),(60/C5))&lt;(60/C5*C9),(C4/C8)*EXP(-MOD((3/80*(60/C5)),(60/C5))/(C8*C7))*60,-((C4*C7*(1-EXP(-(60/C5*C9)/(C8*C7))))/(C8*C7))*EXP(-(MOD((3/80*(60/C5)),(60/C5))-(60/C5*C9))/(C8*C7))*60)</f>
        <v/>
      </c>
      <c r="E31" s="28">
        <f>(IF(MOD((3/80*(60/C5)),(60/C5))&lt;(60/C5*C9),C4*C7*(1-EXP(-MOD((3/80*(60/C5)),(60/C5))/(C8*C7))),(C4*C7*(1-EXP(-(60/C5*C9)/(C8*C7))))*EXP(-(MOD((3/80*(60/C5)),(60/C5))-(60/C5*C9))/(C8*C7))))*1000</f>
        <v/>
      </c>
      <c r="F31" s="27">
        <f>IF(AND(MOD((3/80*(60/C5)),(60/C5))&lt;(60/C5*C9),MOD((3/80*(60/C5)),(60/C5))&lt;C12),-ABS(C11)*SIN(PI()*MOD((3/80*(60/C5)),(60/C5))/C12),0)</f>
        <v/>
      </c>
      <c r="G31" s="27">
        <f>C6*(C10/(C7+C10))+(E31/1000)/C10+F31</f>
        <v/>
      </c>
      <c r="H31" s="27">
        <f>C31-G31</f>
        <v/>
      </c>
      <c r="I31" s="27">
        <f>C6+(E31/1000)/C7</f>
        <v/>
      </c>
    </row>
    <row r="32" ht="12.95" customHeight="1" s="44">
      <c r="B32" s="25">
        <f>(4/80*(60/C5))</f>
        <v/>
      </c>
      <c r="C32" s="25">
        <f>IF(MOD((4/80*(60/C5)),(60/C5))&lt;(60/C5*C9),C6+C4,C6)</f>
        <v/>
      </c>
      <c r="D32" s="25">
        <f>IF(MOD((4/80*(60/C5)),(60/C5))&lt;(60/C5*C9),(C4/C8)*EXP(-MOD((4/80*(60/C5)),(60/C5))/(C8*C7))*60,-((C4*C7*(1-EXP(-(60/C5*C9)/(C8*C7))))/(C8*C7))*EXP(-(MOD((4/80*(60/C5)),(60/C5))-(60/C5*C9))/(C8*C7))*60)</f>
        <v/>
      </c>
      <c r="E32" s="26">
        <f>(IF(MOD((4/80*(60/C5)),(60/C5))&lt;(60/C5*C9),C4*C7*(1-EXP(-MOD((4/80*(60/C5)),(60/C5))/(C8*C7))),(C4*C7*(1-EXP(-(60/C5*C9)/(C8*C7))))*EXP(-(MOD((4/80*(60/C5)),(60/C5))-(60/C5*C9))/(C8*C7))))*1000</f>
        <v/>
      </c>
      <c r="F32" s="25">
        <f>IF(AND(MOD((4/80*(60/C5)),(60/C5))&lt;(60/C5*C9),MOD((4/80*(60/C5)),(60/C5))&lt;C12),-ABS(C11)*SIN(PI()*MOD((4/80*(60/C5)),(60/C5))/C12),0)</f>
        <v/>
      </c>
      <c r="G32" s="25">
        <f>C6*(C10/(C7+C10))+(E32/1000)/C10+F32</f>
        <v/>
      </c>
      <c r="H32" s="25">
        <f>C32-G32</f>
        <v/>
      </c>
      <c r="I32" s="25">
        <f>C6+(E32/1000)/C7</f>
        <v/>
      </c>
    </row>
    <row r="33" ht="12.95" customHeight="1" s="44">
      <c r="B33" s="27">
        <f>(5/80*(60/C5))</f>
        <v/>
      </c>
      <c r="C33" s="27">
        <f>IF(MOD((5/80*(60/C5)),(60/C5))&lt;(60/C5*C9),C6+C4,C6)</f>
        <v/>
      </c>
      <c r="D33" s="27">
        <f>IF(MOD((5/80*(60/C5)),(60/C5))&lt;(60/C5*C9),(C4/C8)*EXP(-MOD((5/80*(60/C5)),(60/C5))/(C8*C7))*60,-((C4*C7*(1-EXP(-(60/C5*C9)/(C8*C7))))/(C8*C7))*EXP(-(MOD((5/80*(60/C5)),(60/C5))-(60/C5*C9))/(C8*C7))*60)</f>
        <v/>
      </c>
      <c r="E33" s="28">
        <f>(IF(MOD((5/80*(60/C5)),(60/C5))&lt;(60/C5*C9),C4*C7*(1-EXP(-MOD((5/80*(60/C5)),(60/C5))/(C8*C7))),(C4*C7*(1-EXP(-(60/C5*C9)/(C8*C7))))*EXP(-(MOD((5/80*(60/C5)),(60/C5))-(60/C5*C9))/(C8*C7))))*1000</f>
        <v/>
      </c>
      <c r="F33" s="27">
        <f>IF(AND(MOD((5/80*(60/C5)),(60/C5))&lt;(60/C5*C9),MOD((5/80*(60/C5)),(60/C5))&lt;C12),-ABS(C11)*SIN(PI()*MOD((5/80*(60/C5)),(60/C5))/C12),0)</f>
        <v/>
      </c>
      <c r="G33" s="27">
        <f>C6*(C10/(C7+C10))+(E33/1000)/C10+F33</f>
        <v/>
      </c>
      <c r="H33" s="27">
        <f>C33-G33</f>
        <v/>
      </c>
      <c r="I33" s="27">
        <f>C6+(E33/1000)/C7</f>
        <v/>
      </c>
    </row>
    <row r="34" ht="12.95" customHeight="1" s="44">
      <c r="B34" s="25">
        <f>(6/80*(60/C5))</f>
        <v/>
      </c>
      <c r="C34" s="25">
        <f>IF(MOD((6/80*(60/C5)),(60/C5))&lt;(60/C5*C9),C6+C4,C6)</f>
        <v/>
      </c>
      <c r="D34" s="25">
        <f>IF(MOD((6/80*(60/C5)),(60/C5))&lt;(60/C5*C9),(C4/C8)*EXP(-MOD((6/80*(60/C5)),(60/C5))/(C8*C7))*60,-((C4*C7*(1-EXP(-(60/C5*C9)/(C8*C7))))/(C8*C7))*EXP(-(MOD((6/80*(60/C5)),(60/C5))-(60/C5*C9))/(C8*C7))*60)</f>
        <v/>
      </c>
      <c r="E34" s="26">
        <f>(IF(MOD((6/80*(60/C5)),(60/C5))&lt;(60/C5*C9),C4*C7*(1-EXP(-MOD((6/80*(60/C5)),(60/C5))/(C8*C7))),(C4*C7*(1-EXP(-(60/C5*C9)/(C8*C7))))*EXP(-(MOD((6/80*(60/C5)),(60/C5))-(60/C5*C9))/(C8*C7))))*1000</f>
        <v/>
      </c>
      <c r="F34" s="25">
        <f>IF(AND(MOD((6/80*(60/C5)),(60/C5))&lt;(60/C5*C9),MOD((6/80*(60/C5)),(60/C5))&lt;C12),-ABS(C11)*SIN(PI()*MOD((6/80*(60/C5)),(60/C5))/C12),0)</f>
        <v/>
      </c>
      <c r="G34" s="25">
        <f>C6*(C10/(C7+C10))+(E34/1000)/C10+F34</f>
        <v/>
      </c>
      <c r="H34" s="25">
        <f>C34-G34</f>
        <v/>
      </c>
      <c r="I34" s="25">
        <f>C6+(E34/1000)/C7</f>
        <v/>
      </c>
    </row>
    <row r="35" ht="12.95" customHeight="1" s="44">
      <c r="B35" s="27">
        <f>(7/80*(60/C5))</f>
        <v/>
      </c>
      <c r="C35" s="27">
        <f>IF(MOD((7/80*(60/C5)),(60/C5))&lt;(60/C5*C9),C6+C4,C6)</f>
        <v/>
      </c>
      <c r="D35" s="27">
        <f>IF(MOD((7/80*(60/C5)),(60/C5))&lt;(60/C5*C9),(C4/C8)*EXP(-MOD((7/80*(60/C5)),(60/C5))/(C8*C7))*60,-((C4*C7*(1-EXP(-(60/C5*C9)/(C8*C7))))/(C8*C7))*EXP(-(MOD((7/80*(60/C5)),(60/C5))-(60/C5*C9))/(C8*C7))*60)</f>
        <v/>
      </c>
      <c r="E35" s="28">
        <f>(IF(MOD((7/80*(60/C5)),(60/C5))&lt;(60/C5*C9),C4*C7*(1-EXP(-MOD((7/80*(60/C5)),(60/C5))/(C8*C7))),(C4*C7*(1-EXP(-(60/C5*C9)/(C8*C7))))*EXP(-(MOD((7/80*(60/C5)),(60/C5))-(60/C5*C9))/(C8*C7))))*1000</f>
        <v/>
      </c>
      <c r="F35" s="27">
        <f>IF(AND(MOD((7/80*(60/C5)),(60/C5))&lt;(60/C5*C9),MOD((7/80*(60/C5)),(60/C5))&lt;C12),-ABS(C11)*SIN(PI()*MOD((7/80*(60/C5)),(60/C5))/C12),0)</f>
        <v/>
      </c>
      <c r="G35" s="27">
        <f>C6*(C10/(C7+C10))+(E35/1000)/C10+F35</f>
        <v/>
      </c>
      <c r="H35" s="27">
        <f>C35-G35</f>
        <v/>
      </c>
      <c r="I35" s="27">
        <f>C6+(E35/1000)/C7</f>
        <v/>
      </c>
    </row>
    <row r="36" ht="12.95" customHeight="1" s="44">
      <c r="B36" s="25">
        <f>(8/80*(60/C5))</f>
        <v/>
      </c>
      <c r="C36" s="25">
        <f>IF(MOD((8/80*(60/C5)),(60/C5))&lt;(60/C5*C9),C6+C4,C6)</f>
        <v/>
      </c>
      <c r="D36" s="25">
        <f>IF(MOD((8/80*(60/C5)),(60/C5))&lt;(60/C5*C9),(C4/C8)*EXP(-MOD((8/80*(60/C5)),(60/C5))/(C8*C7))*60,-((C4*C7*(1-EXP(-(60/C5*C9)/(C8*C7))))/(C8*C7))*EXP(-(MOD((8/80*(60/C5)),(60/C5))-(60/C5*C9))/(C8*C7))*60)</f>
        <v/>
      </c>
      <c r="E36" s="26">
        <f>(IF(MOD((8/80*(60/C5)),(60/C5))&lt;(60/C5*C9),C4*C7*(1-EXP(-MOD((8/80*(60/C5)),(60/C5))/(C8*C7))),(C4*C7*(1-EXP(-(60/C5*C9)/(C8*C7))))*EXP(-(MOD((8/80*(60/C5)),(60/C5))-(60/C5*C9))/(C8*C7))))*1000</f>
        <v/>
      </c>
      <c r="F36" s="25">
        <f>IF(AND(MOD((8/80*(60/C5)),(60/C5))&lt;(60/C5*C9),MOD((8/80*(60/C5)),(60/C5))&lt;C12),-ABS(C11)*SIN(PI()*MOD((8/80*(60/C5)),(60/C5))/C12),0)</f>
        <v/>
      </c>
      <c r="G36" s="25">
        <f>C6*(C10/(C7+C10))+(E36/1000)/C10+F36</f>
        <v/>
      </c>
      <c r="H36" s="25">
        <f>C36-G36</f>
        <v/>
      </c>
      <c r="I36" s="25">
        <f>C6+(E36/1000)/C7</f>
        <v/>
      </c>
    </row>
    <row r="37" ht="12.95" customHeight="1" s="44">
      <c r="B37" s="27">
        <f>(9/80*(60/C5))</f>
        <v/>
      </c>
      <c r="C37" s="27">
        <f>IF(MOD((9/80*(60/C5)),(60/C5))&lt;(60/C5*C9),C6+C4,C6)</f>
        <v/>
      </c>
      <c r="D37" s="27">
        <f>IF(MOD((9/80*(60/C5)),(60/C5))&lt;(60/C5*C9),(C4/C8)*EXP(-MOD((9/80*(60/C5)),(60/C5))/(C8*C7))*60,-((C4*C7*(1-EXP(-(60/C5*C9)/(C8*C7))))/(C8*C7))*EXP(-(MOD((9/80*(60/C5)),(60/C5))-(60/C5*C9))/(C8*C7))*60)</f>
        <v/>
      </c>
      <c r="E37" s="28">
        <f>(IF(MOD((9/80*(60/C5)),(60/C5))&lt;(60/C5*C9),C4*C7*(1-EXP(-MOD((9/80*(60/C5)),(60/C5))/(C8*C7))),(C4*C7*(1-EXP(-(60/C5*C9)/(C8*C7))))*EXP(-(MOD((9/80*(60/C5)),(60/C5))-(60/C5*C9))/(C8*C7))))*1000</f>
        <v/>
      </c>
      <c r="F37" s="27">
        <f>IF(AND(MOD((9/80*(60/C5)),(60/C5))&lt;(60/C5*C9),MOD((9/80*(60/C5)),(60/C5))&lt;C12),-ABS(C11)*SIN(PI()*MOD((9/80*(60/C5)),(60/C5))/C12),0)</f>
        <v/>
      </c>
      <c r="G37" s="27">
        <f>C6*(C10/(C7+C10))+(E37/1000)/C10+F37</f>
        <v/>
      </c>
      <c r="H37" s="27">
        <f>C37-G37</f>
        <v/>
      </c>
      <c r="I37" s="27">
        <f>C6+(E37/1000)/C7</f>
        <v/>
      </c>
    </row>
    <row r="38" ht="12.95" customHeight="1" s="44">
      <c r="B38" s="25">
        <f>(10/80*(60/C5))</f>
        <v/>
      </c>
      <c r="C38" s="25">
        <f>IF(MOD((10/80*(60/C5)),(60/C5))&lt;(60/C5*C9),C6+C4,C6)</f>
        <v/>
      </c>
      <c r="D38" s="25">
        <f>IF(MOD((10/80*(60/C5)),(60/C5))&lt;(60/C5*C9),(C4/C8)*EXP(-MOD((10/80*(60/C5)),(60/C5))/(C8*C7))*60,-((C4*C7*(1-EXP(-(60/C5*C9)/(C8*C7))))/(C8*C7))*EXP(-(MOD((10/80*(60/C5)),(60/C5))-(60/C5*C9))/(C8*C7))*60)</f>
        <v/>
      </c>
      <c r="E38" s="26">
        <f>(IF(MOD((10/80*(60/C5)),(60/C5))&lt;(60/C5*C9),C4*C7*(1-EXP(-MOD((10/80*(60/C5)),(60/C5))/(C8*C7))),(C4*C7*(1-EXP(-(60/C5*C9)/(C8*C7))))*EXP(-(MOD((10/80*(60/C5)),(60/C5))-(60/C5*C9))/(C8*C7))))*1000</f>
        <v/>
      </c>
      <c r="F38" s="25">
        <f>IF(AND(MOD((10/80*(60/C5)),(60/C5))&lt;(60/C5*C9),MOD((10/80*(60/C5)),(60/C5))&lt;C12),-ABS(C11)*SIN(PI()*MOD((10/80*(60/C5)),(60/C5))/C12),0)</f>
        <v/>
      </c>
      <c r="G38" s="25">
        <f>C6*(C10/(C7+C10))+(E38/1000)/C10+F38</f>
        <v/>
      </c>
      <c r="H38" s="25">
        <f>C38-G38</f>
        <v/>
      </c>
      <c r="I38" s="25">
        <f>C6+(E38/1000)/C7</f>
        <v/>
      </c>
    </row>
    <row r="39" ht="12.95" customHeight="1" s="44">
      <c r="B39" s="27">
        <f>(11/80*(60/C5))</f>
        <v/>
      </c>
      <c r="C39" s="27">
        <f>IF(MOD((11/80*(60/C5)),(60/C5))&lt;(60/C5*C9),C6+C4,C6)</f>
        <v/>
      </c>
      <c r="D39" s="27">
        <f>IF(MOD((11/80*(60/C5)),(60/C5))&lt;(60/C5*C9),(C4/C8)*EXP(-MOD((11/80*(60/C5)),(60/C5))/(C8*C7))*60,-((C4*C7*(1-EXP(-(60/C5*C9)/(C8*C7))))/(C8*C7))*EXP(-(MOD((11/80*(60/C5)),(60/C5))-(60/C5*C9))/(C8*C7))*60)</f>
        <v/>
      </c>
      <c r="E39" s="28">
        <f>(IF(MOD((11/80*(60/C5)),(60/C5))&lt;(60/C5*C9),C4*C7*(1-EXP(-MOD((11/80*(60/C5)),(60/C5))/(C8*C7))),(C4*C7*(1-EXP(-(60/C5*C9)/(C8*C7))))*EXP(-(MOD((11/80*(60/C5)),(60/C5))-(60/C5*C9))/(C8*C7))))*1000</f>
        <v/>
      </c>
      <c r="F39" s="27">
        <f>IF(AND(MOD((11/80*(60/C5)),(60/C5))&lt;(60/C5*C9),MOD((11/80*(60/C5)),(60/C5))&lt;C12),-ABS(C11)*SIN(PI()*MOD((11/80*(60/C5)),(60/C5))/C12),0)</f>
        <v/>
      </c>
      <c r="G39" s="27">
        <f>C6*(C10/(C7+C10))+(E39/1000)/C10+F39</f>
        <v/>
      </c>
      <c r="H39" s="27">
        <f>C39-G39</f>
        <v/>
      </c>
      <c r="I39" s="27">
        <f>C6+(E39/1000)/C7</f>
        <v/>
      </c>
    </row>
    <row r="40" ht="12.95" customHeight="1" s="44">
      <c r="B40" s="25">
        <f>(12/80*(60/C5))</f>
        <v/>
      </c>
      <c r="C40" s="25">
        <f>IF(MOD((12/80*(60/C5)),(60/C5))&lt;(60/C5*C9),C6+C4,C6)</f>
        <v/>
      </c>
      <c r="D40" s="25">
        <f>IF(MOD((12/80*(60/C5)),(60/C5))&lt;(60/C5*C9),(C4/C8)*EXP(-MOD((12/80*(60/C5)),(60/C5))/(C8*C7))*60,-((C4*C7*(1-EXP(-(60/C5*C9)/(C8*C7))))/(C8*C7))*EXP(-(MOD((12/80*(60/C5)),(60/C5))-(60/C5*C9))/(C8*C7))*60)</f>
        <v/>
      </c>
      <c r="E40" s="26">
        <f>(IF(MOD((12/80*(60/C5)),(60/C5))&lt;(60/C5*C9),C4*C7*(1-EXP(-MOD((12/80*(60/C5)),(60/C5))/(C8*C7))),(C4*C7*(1-EXP(-(60/C5*C9)/(C8*C7))))*EXP(-(MOD((12/80*(60/C5)),(60/C5))-(60/C5*C9))/(C8*C7))))*1000</f>
        <v/>
      </c>
      <c r="F40" s="25">
        <f>IF(AND(MOD((12/80*(60/C5)),(60/C5))&lt;(60/C5*C9),MOD((12/80*(60/C5)),(60/C5))&lt;C12),-ABS(C11)*SIN(PI()*MOD((12/80*(60/C5)),(60/C5))/C12),0)</f>
        <v/>
      </c>
      <c r="G40" s="25">
        <f>C6*(C10/(C7+C10))+(E40/1000)/C10+F40</f>
        <v/>
      </c>
      <c r="H40" s="25">
        <f>C40-G40</f>
        <v/>
      </c>
      <c r="I40" s="25">
        <f>C6+(E40/1000)/C7</f>
        <v/>
      </c>
    </row>
    <row r="41" ht="12.95" customHeight="1" s="44">
      <c r="B41" s="27">
        <f>(13/80*(60/C5))</f>
        <v/>
      </c>
      <c r="C41" s="27">
        <f>IF(MOD((13/80*(60/C5)),(60/C5))&lt;(60/C5*C9),C6+C4,C6)</f>
        <v/>
      </c>
      <c r="D41" s="27">
        <f>IF(MOD((13/80*(60/C5)),(60/C5))&lt;(60/C5*C9),(C4/C8)*EXP(-MOD((13/80*(60/C5)),(60/C5))/(C8*C7))*60,-((C4*C7*(1-EXP(-(60/C5*C9)/(C8*C7))))/(C8*C7))*EXP(-(MOD((13/80*(60/C5)),(60/C5))-(60/C5*C9))/(C8*C7))*60)</f>
        <v/>
      </c>
      <c r="E41" s="28">
        <f>(IF(MOD((13/80*(60/C5)),(60/C5))&lt;(60/C5*C9),C4*C7*(1-EXP(-MOD((13/80*(60/C5)),(60/C5))/(C8*C7))),(C4*C7*(1-EXP(-(60/C5*C9)/(C8*C7))))*EXP(-(MOD((13/80*(60/C5)),(60/C5))-(60/C5*C9))/(C8*C7))))*1000</f>
        <v/>
      </c>
      <c r="F41" s="27">
        <f>IF(AND(MOD((13/80*(60/C5)),(60/C5))&lt;(60/C5*C9),MOD((13/80*(60/C5)),(60/C5))&lt;C12),-ABS(C11)*SIN(PI()*MOD((13/80*(60/C5)),(60/C5))/C12),0)</f>
        <v/>
      </c>
      <c r="G41" s="27">
        <f>C6*(C10/(C7+C10))+(E41/1000)/C10+F41</f>
        <v/>
      </c>
      <c r="H41" s="27">
        <f>C41-G41</f>
        <v/>
      </c>
      <c r="I41" s="27">
        <f>C6+(E41/1000)/C7</f>
        <v/>
      </c>
    </row>
    <row r="42" ht="12.95" customHeight="1" s="44">
      <c r="B42" s="25">
        <f>(14/80*(60/C5))</f>
        <v/>
      </c>
      <c r="C42" s="25">
        <f>IF(MOD((14/80*(60/C5)),(60/C5))&lt;(60/C5*C9),C6+C4,C6)</f>
        <v/>
      </c>
      <c r="D42" s="25">
        <f>IF(MOD((14/80*(60/C5)),(60/C5))&lt;(60/C5*C9),(C4/C8)*EXP(-MOD((14/80*(60/C5)),(60/C5))/(C8*C7))*60,-((C4*C7*(1-EXP(-(60/C5*C9)/(C8*C7))))/(C8*C7))*EXP(-(MOD((14/80*(60/C5)),(60/C5))-(60/C5*C9))/(C8*C7))*60)</f>
        <v/>
      </c>
      <c r="E42" s="26">
        <f>(IF(MOD((14/80*(60/C5)),(60/C5))&lt;(60/C5*C9),C4*C7*(1-EXP(-MOD((14/80*(60/C5)),(60/C5))/(C8*C7))),(C4*C7*(1-EXP(-(60/C5*C9)/(C8*C7))))*EXP(-(MOD((14/80*(60/C5)),(60/C5))-(60/C5*C9))/(C8*C7))))*1000</f>
        <v/>
      </c>
      <c r="F42" s="25">
        <f>IF(AND(MOD((14/80*(60/C5)),(60/C5))&lt;(60/C5*C9),MOD((14/80*(60/C5)),(60/C5))&lt;C12),-ABS(C11)*SIN(PI()*MOD((14/80*(60/C5)),(60/C5))/C12),0)</f>
        <v/>
      </c>
      <c r="G42" s="25">
        <f>C6*(C10/(C7+C10))+(E42/1000)/C10+F42</f>
        <v/>
      </c>
      <c r="H42" s="25">
        <f>C42-G42</f>
        <v/>
      </c>
      <c r="I42" s="25">
        <f>C6+(E42/1000)/C7</f>
        <v/>
      </c>
    </row>
    <row r="43" ht="12.95" customHeight="1" s="44">
      <c r="B43" s="27">
        <f>(15/80*(60/C5))</f>
        <v/>
      </c>
      <c r="C43" s="27">
        <f>IF(MOD((15/80*(60/C5)),(60/C5))&lt;(60/C5*C9),C6+C4,C6)</f>
        <v/>
      </c>
      <c r="D43" s="27">
        <f>IF(MOD((15/80*(60/C5)),(60/C5))&lt;(60/C5*C9),(C4/C8)*EXP(-MOD((15/80*(60/C5)),(60/C5))/(C8*C7))*60,-((C4*C7*(1-EXP(-(60/C5*C9)/(C8*C7))))/(C8*C7))*EXP(-(MOD((15/80*(60/C5)),(60/C5))-(60/C5*C9))/(C8*C7))*60)</f>
        <v/>
      </c>
      <c r="E43" s="28">
        <f>(IF(MOD((15/80*(60/C5)),(60/C5))&lt;(60/C5*C9),C4*C7*(1-EXP(-MOD((15/80*(60/C5)),(60/C5))/(C8*C7))),(C4*C7*(1-EXP(-(60/C5*C9)/(C8*C7))))*EXP(-(MOD((15/80*(60/C5)),(60/C5))-(60/C5*C9))/(C8*C7))))*1000</f>
        <v/>
      </c>
      <c r="F43" s="27">
        <f>IF(AND(MOD((15/80*(60/C5)),(60/C5))&lt;(60/C5*C9),MOD((15/80*(60/C5)),(60/C5))&lt;C12),-ABS(C11)*SIN(PI()*MOD((15/80*(60/C5)),(60/C5))/C12),0)</f>
        <v/>
      </c>
      <c r="G43" s="27">
        <f>C6*(C10/(C7+C10))+(E43/1000)/C10+F43</f>
        <v/>
      </c>
      <c r="H43" s="27">
        <f>C43-G43</f>
        <v/>
      </c>
      <c r="I43" s="27">
        <f>C6+(E43/1000)/C7</f>
        <v/>
      </c>
    </row>
    <row r="44" ht="12.95" customHeight="1" s="44">
      <c r="B44" s="25">
        <f>(16/80*(60/C5))</f>
        <v/>
      </c>
      <c r="C44" s="25">
        <f>IF(MOD((16/80*(60/C5)),(60/C5))&lt;(60/C5*C9),C6+C4,C6)</f>
        <v/>
      </c>
      <c r="D44" s="25">
        <f>IF(MOD((16/80*(60/C5)),(60/C5))&lt;(60/C5*C9),(C4/C8)*EXP(-MOD((16/80*(60/C5)),(60/C5))/(C8*C7))*60,-((C4*C7*(1-EXP(-(60/C5*C9)/(C8*C7))))/(C8*C7))*EXP(-(MOD((16/80*(60/C5)),(60/C5))-(60/C5*C9))/(C8*C7))*60)</f>
        <v/>
      </c>
      <c r="E44" s="26">
        <f>(IF(MOD((16/80*(60/C5)),(60/C5))&lt;(60/C5*C9),C4*C7*(1-EXP(-MOD((16/80*(60/C5)),(60/C5))/(C8*C7))),(C4*C7*(1-EXP(-(60/C5*C9)/(C8*C7))))*EXP(-(MOD((16/80*(60/C5)),(60/C5))-(60/C5*C9))/(C8*C7))))*1000</f>
        <v/>
      </c>
      <c r="F44" s="25">
        <f>IF(AND(MOD((16/80*(60/C5)),(60/C5))&lt;(60/C5*C9),MOD((16/80*(60/C5)),(60/C5))&lt;C12),-ABS(C11)*SIN(PI()*MOD((16/80*(60/C5)),(60/C5))/C12),0)</f>
        <v/>
      </c>
      <c r="G44" s="25">
        <f>C6*(C10/(C7+C10))+(E44/1000)/C10+F44</f>
        <v/>
      </c>
      <c r="H44" s="25">
        <f>C44-G44</f>
        <v/>
      </c>
      <c r="I44" s="25">
        <f>C6+(E44/1000)/C7</f>
        <v/>
      </c>
    </row>
    <row r="45" ht="12.95" customHeight="1" s="44">
      <c r="B45" s="27">
        <f>(17/80*(60/C5))</f>
        <v/>
      </c>
      <c r="C45" s="27">
        <f>IF(MOD((17/80*(60/C5)),(60/C5))&lt;(60/C5*C9),C6+C4,C6)</f>
        <v/>
      </c>
      <c r="D45" s="27">
        <f>IF(MOD((17/80*(60/C5)),(60/C5))&lt;(60/C5*C9),(C4/C8)*EXP(-MOD((17/80*(60/C5)),(60/C5))/(C8*C7))*60,-((C4*C7*(1-EXP(-(60/C5*C9)/(C8*C7))))/(C8*C7))*EXP(-(MOD((17/80*(60/C5)),(60/C5))-(60/C5*C9))/(C8*C7))*60)</f>
        <v/>
      </c>
      <c r="E45" s="28">
        <f>(IF(MOD((17/80*(60/C5)),(60/C5))&lt;(60/C5*C9),C4*C7*(1-EXP(-MOD((17/80*(60/C5)),(60/C5))/(C8*C7))),(C4*C7*(1-EXP(-(60/C5*C9)/(C8*C7))))*EXP(-(MOD((17/80*(60/C5)),(60/C5))-(60/C5*C9))/(C8*C7))))*1000</f>
        <v/>
      </c>
      <c r="F45" s="27">
        <f>IF(AND(MOD((17/80*(60/C5)),(60/C5))&lt;(60/C5*C9),MOD((17/80*(60/C5)),(60/C5))&lt;C12),-ABS(C11)*SIN(PI()*MOD((17/80*(60/C5)),(60/C5))/C12),0)</f>
        <v/>
      </c>
      <c r="G45" s="27">
        <f>C6*(C10/(C7+C10))+(E45/1000)/C10+F45</f>
        <v/>
      </c>
      <c r="H45" s="27">
        <f>C45-G45</f>
        <v/>
      </c>
      <c r="I45" s="27">
        <f>C6+(E45/1000)/C7</f>
        <v/>
      </c>
    </row>
    <row r="46" ht="12.95" customHeight="1" s="44">
      <c r="B46" s="25">
        <f>(18/80*(60/C5))</f>
        <v/>
      </c>
      <c r="C46" s="25">
        <f>IF(MOD((18/80*(60/C5)),(60/C5))&lt;(60/C5*C9),C6+C4,C6)</f>
        <v/>
      </c>
      <c r="D46" s="25">
        <f>IF(MOD((18/80*(60/C5)),(60/C5))&lt;(60/C5*C9),(C4/C8)*EXP(-MOD((18/80*(60/C5)),(60/C5))/(C8*C7))*60,-((C4*C7*(1-EXP(-(60/C5*C9)/(C8*C7))))/(C8*C7))*EXP(-(MOD((18/80*(60/C5)),(60/C5))-(60/C5*C9))/(C8*C7))*60)</f>
        <v/>
      </c>
      <c r="E46" s="26">
        <f>(IF(MOD((18/80*(60/C5)),(60/C5))&lt;(60/C5*C9),C4*C7*(1-EXP(-MOD((18/80*(60/C5)),(60/C5))/(C8*C7))),(C4*C7*(1-EXP(-(60/C5*C9)/(C8*C7))))*EXP(-(MOD((18/80*(60/C5)),(60/C5))-(60/C5*C9))/(C8*C7))))*1000</f>
        <v/>
      </c>
      <c r="F46" s="25">
        <f>IF(AND(MOD((18/80*(60/C5)),(60/C5))&lt;(60/C5*C9),MOD((18/80*(60/C5)),(60/C5))&lt;C12),-ABS(C11)*SIN(PI()*MOD((18/80*(60/C5)),(60/C5))/C12),0)</f>
        <v/>
      </c>
      <c r="G46" s="25">
        <f>C6*(C10/(C7+C10))+(E46/1000)/C10+F46</f>
        <v/>
      </c>
      <c r="H46" s="25">
        <f>C46-G46</f>
        <v/>
      </c>
      <c r="I46" s="25">
        <f>C6+(E46/1000)/C7</f>
        <v/>
      </c>
    </row>
    <row r="47" ht="12.95" customHeight="1" s="44">
      <c r="B47" s="27">
        <f>(19/80*(60/C5))</f>
        <v/>
      </c>
      <c r="C47" s="27">
        <f>IF(MOD((19/80*(60/C5)),(60/C5))&lt;(60/C5*C9),C6+C4,C6)</f>
        <v/>
      </c>
      <c r="D47" s="27">
        <f>IF(MOD((19/80*(60/C5)),(60/C5))&lt;(60/C5*C9),(C4/C8)*EXP(-MOD((19/80*(60/C5)),(60/C5))/(C8*C7))*60,-((C4*C7*(1-EXP(-(60/C5*C9)/(C8*C7))))/(C8*C7))*EXP(-(MOD((19/80*(60/C5)),(60/C5))-(60/C5*C9))/(C8*C7))*60)</f>
        <v/>
      </c>
      <c r="E47" s="28">
        <f>(IF(MOD((19/80*(60/C5)),(60/C5))&lt;(60/C5*C9),C4*C7*(1-EXP(-MOD((19/80*(60/C5)),(60/C5))/(C8*C7))),(C4*C7*(1-EXP(-(60/C5*C9)/(C8*C7))))*EXP(-(MOD((19/80*(60/C5)),(60/C5))-(60/C5*C9))/(C8*C7))))*1000</f>
        <v/>
      </c>
      <c r="F47" s="27">
        <f>IF(AND(MOD((19/80*(60/C5)),(60/C5))&lt;(60/C5*C9),MOD((19/80*(60/C5)),(60/C5))&lt;C12),-ABS(C11)*SIN(PI()*MOD((19/80*(60/C5)),(60/C5))/C12),0)</f>
        <v/>
      </c>
      <c r="G47" s="27">
        <f>C6*(C10/(C7+C10))+(E47/1000)/C10+F47</f>
        <v/>
      </c>
      <c r="H47" s="27">
        <f>C47-G47</f>
        <v/>
      </c>
      <c r="I47" s="27">
        <f>C6+(E47/1000)/C7</f>
        <v/>
      </c>
    </row>
    <row r="48" ht="12.95" customHeight="1" s="44">
      <c r="B48" s="25">
        <f>(20/80*(60/C5))</f>
        <v/>
      </c>
      <c r="C48" s="25">
        <f>IF(MOD((20/80*(60/C5)),(60/C5))&lt;(60/C5*C9),C6+C4,C6)</f>
        <v/>
      </c>
      <c r="D48" s="25">
        <f>IF(MOD((20/80*(60/C5)),(60/C5))&lt;(60/C5*C9),(C4/C8)*EXP(-MOD((20/80*(60/C5)),(60/C5))/(C8*C7))*60,-((C4*C7*(1-EXP(-(60/C5*C9)/(C8*C7))))/(C8*C7))*EXP(-(MOD((20/80*(60/C5)),(60/C5))-(60/C5*C9))/(C8*C7))*60)</f>
        <v/>
      </c>
      <c r="E48" s="26">
        <f>(IF(MOD((20/80*(60/C5)),(60/C5))&lt;(60/C5*C9),C4*C7*(1-EXP(-MOD((20/80*(60/C5)),(60/C5))/(C8*C7))),(C4*C7*(1-EXP(-(60/C5*C9)/(C8*C7))))*EXP(-(MOD((20/80*(60/C5)),(60/C5))-(60/C5*C9))/(C8*C7))))*1000</f>
        <v/>
      </c>
      <c r="F48" s="25">
        <f>IF(AND(MOD((20/80*(60/C5)),(60/C5))&lt;(60/C5*C9),MOD((20/80*(60/C5)),(60/C5))&lt;C12),-ABS(C11)*SIN(PI()*MOD((20/80*(60/C5)),(60/C5))/C12),0)</f>
        <v/>
      </c>
      <c r="G48" s="25">
        <f>C6*(C10/(C7+C10))+(E48/1000)/C10+F48</f>
        <v/>
      </c>
      <c r="H48" s="25">
        <f>C48-G48</f>
        <v/>
      </c>
      <c r="I48" s="25">
        <f>C6+(E48/1000)/C7</f>
        <v/>
      </c>
    </row>
    <row r="49" ht="12.95" customHeight="1" s="44">
      <c r="B49" s="27">
        <f>(21/80*(60/C5))</f>
        <v/>
      </c>
      <c r="C49" s="27">
        <f>IF(MOD((21/80*(60/C5)),(60/C5))&lt;(60/C5*C9),C6+C4,C6)</f>
        <v/>
      </c>
      <c r="D49" s="27">
        <f>IF(MOD((21/80*(60/C5)),(60/C5))&lt;(60/C5*C9),(C4/C8)*EXP(-MOD((21/80*(60/C5)),(60/C5))/(C8*C7))*60,-((C4*C7*(1-EXP(-(60/C5*C9)/(C8*C7))))/(C8*C7))*EXP(-(MOD((21/80*(60/C5)),(60/C5))-(60/C5*C9))/(C8*C7))*60)</f>
        <v/>
      </c>
      <c r="E49" s="28">
        <f>(IF(MOD((21/80*(60/C5)),(60/C5))&lt;(60/C5*C9),C4*C7*(1-EXP(-MOD((21/80*(60/C5)),(60/C5))/(C8*C7))),(C4*C7*(1-EXP(-(60/C5*C9)/(C8*C7))))*EXP(-(MOD((21/80*(60/C5)),(60/C5))-(60/C5*C9))/(C8*C7))))*1000</f>
        <v/>
      </c>
      <c r="F49" s="27">
        <f>IF(AND(MOD((21/80*(60/C5)),(60/C5))&lt;(60/C5*C9),MOD((21/80*(60/C5)),(60/C5))&lt;C12),-ABS(C11)*SIN(PI()*MOD((21/80*(60/C5)),(60/C5))/C12),0)</f>
        <v/>
      </c>
      <c r="G49" s="27">
        <f>C6*(C10/(C7+C10))+(E49/1000)/C10+F49</f>
        <v/>
      </c>
      <c r="H49" s="27">
        <f>C49-G49</f>
        <v/>
      </c>
      <c r="I49" s="27">
        <f>C6+(E49/1000)/C7</f>
        <v/>
      </c>
    </row>
    <row r="50" ht="12.95" customHeight="1" s="44">
      <c r="B50" s="25">
        <f>(22/80*(60/C5))</f>
        <v/>
      </c>
      <c r="C50" s="25">
        <f>IF(MOD((22/80*(60/C5)),(60/C5))&lt;(60/C5*C9),C6+C4,C6)</f>
        <v/>
      </c>
      <c r="D50" s="25">
        <f>IF(MOD((22/80*(60/C5)),(60/C5))&lt;(60/C5*C9),(C4/C8)*EXP(-MOD((22/80*(60/C5)),(60/C5))/(C8*C7))*60,-((C4*C7*(1-EXP(-(60/C5*C9)/(C8*C7))))/(C8*C7))*EXP(-(MOD((22/80*(60/C5)),(60/C5))-(60/C5*C9))/(C8*C7))*60)</f>
        <v/>
      </c>
      <c r="E50" s="26">
        <f>(IF(MOD((22/80*(60/C5)),(60/C5))&lt;(60/C5*C9),C4*C7*(1-EXP(-MOD((22/80*(60/C5)),(60/C5))/(C8*C7))),(C4*C7*(1-EXP(-(60/C5*C9)/(C8*C7))))*EXP(-(MOD((22/80*(60/C5)),(60/C5))-(60/C5*C9))/(C8*C7))))*1000</f>
        <v/>
      </c>
      <c r="F50" s="25">
        <f>IF(AND(MOD((22/80*(60/C5)),(60/C5))&lt;(60/C5*C9),MOD((22/80*(60/C5)),(60/C5))&lt;C12),-ABS(C11)*SIN(PI()*MOD((22/80*(60/C5)),(60/C5))/C12),0)</f>
        <v/>
      </c>
      <c r="G50" s="25">
        <f>C6*(C10/(C7+C10))+(E50/1000)/C10+F50</f>
        <v/>
      </c>
      <c r="H50" s="25">
        <f>C50-G50</f>
        <v/>
      </c>
      <c r="I50" s="25">
        <f>C6+(E50/1000)/C7</f>
        <v/>
      </c>
    </row>
    <row r="51" ht="12.95" customHeight="1" s="44">
      <c r="B51" s="27">
        <f>(23/80*(60/C5))</f>
        <v/>
      </c>
      <c r="C51" s="27">
        <f>IF(MOD((23/80*(60/C5)),(60/C5))&lt;(60/C5*C9),C6+C4,C6)</f>
        <v/>
      </c>
      <c r="D51" s="27">
        <f>IF(MOD((23/80*(60/C5)),(60/C5))&lt;(60/C5*C9),(C4/C8)*EXP(-MOD((23/80*(60/C5)),(60/C5))/(C8*C7))*60,-((C4*C7*(1-EXP(-(60/C5*C9)/(C8*C7))))/(C8*C7))*EXP(-(MOD((23/80*(60/C5)),(60/C5))-(60/C5*C9))/(C8*C7))*60)</f>
        <v/>
      </c>
      <c r="E51" s="28">
        <f>(IF(MOD((23/80*(60/C5)),(60/C5))&lt;(60/C5*C9),C4*C7*(1-EXP(-MOD((23/80*(60/C5)),(60/C5))/(C8*C7))),(C4*C7*(1-EXP(-(60/C5*C9)/(C8*C7))))*EXP(-(MOD((23/80*(60/C5)),(60/C5))-(60/C5*C9))/(C8*C7))))*1000</f>
        <v/>
      </c>
      <c r="F51" s="27">
        <f>IF(AND(MOD((23/80*(60/C5)),(60/C5))&lt;(60/C5*C9),MOD((23/80*(60/C5)),(60/C5))&lt;C12),-ABS(C11)*SIN(PI()*MOD((23/80*(60/C5)),(60/C5))/C12),0)</f>
        <v/>
      </c>
      <c r="G51" s="27">
        <f>C6*(C10/(C7+C10))+(E51/1000)/C10+F51</f>
        <v/>
      </c>
      <c r="H51" s="27">
        <f>C51-G51</f>
        <v/>
      </c>
      <c r="I51" s="27">
        <f>C6+(E51/1000)/C7</f>
        <v/>
      </c>
    </row>
    <row r="52" ht="12.95" customHeight="1" s="44">
      <c r="B52" s="25">
        <f>(24/80*(60/C5))</f>
        <v/>
      </c>
      <c r="C52" s="25">
        <f>IF(MOD((24/80*(60/C5)),(60/C5))&lt;(60/C5*C9),C6+C4,C6)</f>
        <v/>
      </c>
      <c r="D52" s="25">
        <f>IF(MOD((24/80*(60/C5)),(60/C5))&lt;(60/C5*C9),(C4/C8)*EXP(-MOD((24/80*(60/C5)),(60/C5))/(C8*C7))*60,-((C4*C7*(1-EXP(-(60/C5*C9)/(C8*C7))))/(C8*C7))*EXP(-(MOD((24/80*(60/C5)),(60/C5))-(60/C5*C9))/(C8*C7))*60)</f>
        <v/>
      </c>
      <c r="E52" s="26">
        <f>(IF(MOD((24/80*(60/C5)),(60/C5))&lt;(60/C5*C9),C4*C7*(1-EXP(-MOD((24/80*(60/C5)),(60/C5))/(C8*C7))),(C4*C7*(1-EXP(-(60/C5*C9)/(C8*C7))))*EXP(-(MOD((24/80*(60/C5)),(60/C5))-(60/C5*C9))/(C8*C7))))*1000</f>
        <v/>
      </c>
      <c r="F52" s="25">
        <f>IF(AND(MOD((24/80*(60/C5)),(60/C5))&lt;(60/C5*C9),MOD((24/80*(60/C5)),(60/C5))&lt;C12),-ABS(C11)*SIN(PI()*MOD((24/80*(60/C5)),(60/C5))/C12),0)</f>
        <v/>
      </c>
      <c r="G52" s="25">
        <f>C6*(C10/(C7+C10))+(E52/1000)/C10+F52</f>
        <v/>
      </c>
      <c r="H52" s="25">
        <f>C52-G52</f>
        <v/>
      </c>
      <c r="I52" s="25">
        <f>C6+(E52/1000)/C7</f>
        <v/>
      </c>
    </row>
    <row r="53" ht="12.95" customHeight="1" s="44">
      <c r="B53" s="27">
        <f>(25/80*(60/C5))</f>
        <v/>
      </c>
      <c r="C53" s="27">
        <f>IF(MOD((25/80*(60/C5)),(60/C5))&lt;(60/C5*C9),C6+C4,C6)</f>
        <v/>
      </c>
      <c r="D53" s="27">
        <f>IF(MOD((25/80*(60/C5)),(60/C5))&lt;(60/C5*C9),(C4/C8)*EXP(-MOD((25/80*(60/C5)),(60/C5))/(C8*C7))*60,-((C4*C7*(1-EXP(-(60/C5*C9)/(C8*C7))))/(C8*C7))*EXP(-(MOD((25/80*(60/C5)),(60/C5))-(60/C5*C9))/(C8*C7))*60)</f>
        <v/>
      </c>
      <c r="E53" s="28">
        <f>(IF(MOD((25/80*(60/C5)),(60/C5))&lt;(60/C5*C9),C4*C7*(1-EXP(-MOD((25/80*(60/C5)),(60/C5))/(C8*C7))),(C4*C7*(1-EXP(-(60/C5*C9)/(C8*C7))))*EXP(-(MOD((25/80*(60/C5)),(60/C5))-(60/C5*C9))/(C8*C7))))*1000</f>
        <v/>
      </c>
      <c r="F53" s="27">
        <f>IF(AND(MOD((25/80*(60/C5)),(60/C5))&lt;(60/C5*C9),MOD((25/80*(60/C5)),(60/C5))&lt;C12),-ABS(C11)*SIN(PI()*MOD((25/80*(60/C5)),(60/C5))/C12),0)</f>
        <v/>
      </c>
      <c r="G53" s="27">
        <f>C6*(C10/(C7+C10))+(E53/1000)/C10+F53</f>
        <v/>
      </c>
      <c r="H53" s="27">
        <f>C53-G53</f>
        <v/>
      </c>
      <c r="I53" s="27">
        <f>C6+(E53/1000)/C7</f>
        <v/>
      </c>
    </row>
    <row r="54" ht="12.95" customHeight="1" s="44">
      <c r="B54" s="25">
        <f>(26/80*(60/C5))</f>
        <v/>
      </c>
      <c r="C54" s="25">
        <f>IF(MOD((26/80*(60/C5)),(60/C5))&lt;(60/C5*C9),C6+C4,C6)</f>
        <v/>
      </c>
      <c r="D54" s="25">
        <f>IF(MOD((26/80*(60/C5)),(60/C5))&lt;(60/C5*C9),(C4/C8)*EXP(-MOD((26/80*(60/C5)),(60/C5))/(C8*C7))*60,-((C4*C7*(1-EXP(-(60/C5*C9)/(C8*C7))))/(C8*C7))*EXP(-(MOD((26/80*(60/C5)),(60/C5))-(60/C5*C9))/(C8*C7))*60)</f>
        <v/>
      </c>
      <c r="E54" s="26">
        <f>(IF(MOD((26/80*(60/C5)),(60/C5))&lt;(60/C5*C9),C4*C7*(1-EXP(-MOD((26/80*(60/C5)),(60/C5))/(C8*C7))),(C4*C7*(1-EXP(-(60/C5*C9)/(C8*C7))))*EXP(-(MOD((26/80*(60/C5)),(60/C5))-(60/C5*C9))/(C8*C7))))*1000</f>
        <v/>
      </c>
      <c r="F54" s="25">
        <f>IF(AND(MOD((26/80*(60/C5)),(60/C5))&lt;(60/C5*C9),MOD((26/80*(60/C5)),(60/C5))&lt;C12),-ABS(C11)*SIN(PI()*MOD((26/80*(60/C5)),(60/C5))/C12),0)</f>
        <v/>
      </c>
      <c r="G54" s="25">
        <f>C6*(C10/(C7+C10))+(E54/1000)/C10+F54</f>
        <v/>
      </c>
      <c r="H54" s="25">
        <f>C54-G54</f>
        <v/>
      </c>
      <c r="I54" s="25">
        <f>C6+(E54/1000)/C7</f>
        <v/>
      </c>
    </row>
    <row r="55" ht="12.95" customHeight="1" s="44">
      <c r="B55" s="27">
        <f>(27/80*(60/C5))</f>
        <v/>
      </c>
      <c r="C55" s="27">
        <f>IF(MOD((27/80*(60/C5)),(60/C5))&lt;(60/C5*C9),C6+C4,C6)</f>
        <v/>
      </c>
      <c r="D55" s="27">
        <f>IF(MOD((27/80*(60/C5)),(60/C5))&lt;(60/C5*C9),(C4/C8)*EXP(-MOD((27/80*(60/C5)),(60/C5))/(C8*C7))*60,-((C4*C7*(1-EXP(-(60/C5*C9)/(C8*C7))))/(C8*C7))*EXP(-(MOD((27/80*(60/C5)),(60/C5))-(60/C5*C9))/(C8*C7))*60)</f>
        <v/>
      </c>
      <c r="E55" s="28">
        <f>(IF(MOD((27/80*(60/C5)),(60/C5))&lt;(60/C5*C9),C4*C7*(1-EXP(-MOD((27/80*(60/C5)),(60/C5))/(C8*C7))),(C4*C7*(1-EXP(-(60/C5*C9)/(C8*C7))))*EXP(-(MOD((27/80*(60/C5)),(60/C5))-(60/C5*C9))/(C8*C7))))*1000</f>
        <v/>
      </c>
      <c r="F55" s="27">
        <f>IF(AND(MOD((27/80*(60/C5)),(60/C5))&lt;(60/C5*C9),MOD((27/80*(60/C5)),(60/C5))&lt;C12),-ABS(C11)*SIN(PI()*MOD((27/80*(60/C5)),(60/C5))/C12),0)</f>
        <v/>
      </c>
      <c r="G55" s="27">
        <f>C6*(C10/(C7+C10))+(E55/1000)/C10+F55</f>
        <v/>
      </c>
      <c r="H55" s="27">
        <f>C55-G55</f>
        <v/>
      </c>
      <c r="I55" s="27">
        <f>C6+(E55/1000)/C7</f>
        <v/>
      </c>
    </row>
    <row r="56" ht="12.95" customHeight="1" s="44">
      <c r="B56" s="25">
        <f>(28/80*(60/C5))</f>
        <v/>
      </c>
      <c r="C56" s="25">
        <f>IF(MOD((28/80*(60/C5)),(60/C5))&lt;(60/C5*C9),C6+C4,C6)</f>
        <v/>
      </c>
      <c r="D56" s="25">
        <f>IF(MOD((28/80*(60/C5)),(60/C5))&lt;(60/C5*C9),(C4/C8)*EXP(-MOD((28/80*(60/C5)),(60/C5))/(C8*C7))*60,-((C4*C7*(1-EXP(-(60/C5*C9)/(C8*C7))))/(C8*C7))*EXP(-(MOD((28/80*(60/C5)),(60/C5))-(60/C5*C9))/(C8*C7))*60)</f>
        <v/>
      </c>
      <c r="E56" s="26">
        <f>(IF(MOD((28/80*(60/C5)),(60/C5))&lt;(60/C5*C9),C4*C7*(1-EXP(-MOD((28/80*(60/C5)),(60/C5))/(C8*C7))),(C4*C7*(1-EXP(-(60/C5*C9)/(C8*C7))))*EXP(-(MOD((28/80*(60/C5)),(60/C5))-(60/C5*C9))/(C8*C7))))*1000</f>
        <v/>
      </c>
      <c r="F56" s="25">
        <f>IF(AND(MOD((28/80*(60/C5)),(60/C5))&lt;(60/C5*C9),MOD((28/80*(60/C5)),(60/C5))&lt;C12),-ABS(C11)*SIN(PI()*MOD((28/80*(60/C5)),(60/C5))/C12),0)</f>
        <v/>
      </c>
      <c r="G56" s="25">
        <f>C6*(C10/(C7+C10))+(E56/1000)/C10+F56</f>
        <v/>
      </c>
      <c r="H56" s="25">
        <f>C56-G56</f>
        <v/>
      </c>
      <c r="I56" s="25">
        <f>C6+(E56/1000)/C7</f>
        <v/>
      </c>
    </row>
    <row r="57" ht="12.95" customHeight="1" s="44">
      <c r="B57" s="27">
        <f>(29/80*(60/C5))</f>
        <v/>
      </c>
      <c r="C57" s="27">
        <f>IF(MOD((29/80*(60/C5)),(60/C5))&lt;(60/C5*C9),C6+C4,C6)</f>
        <v/>
      </c>
      <c r="D57" s="27">
        <f>IF(MOD((29/80*(60/C5)),(60/C5))&lt;(60/C5*C9),(C4/C8)*EXP(-MOD((29/80*(60/C5)),(60/C5))/(C8*C7))*60,-((C4*C7*(1-EXP(-(60/C5*C9)/(C8*C7))))/(C8*C7))*EXP(-(MOD((29/80*(60/C5)),(60/C5))-(60/C5*C9))/(C8*C7))*60)</f>
        <v/>
      </c>
      <c r="E57" s="28">
        <f>(IF(MOD((29/80*(60/C5)),(60/C5))&lt;(60/C5*C9),C4*C7*(1-EXP(-MOD((29/80*(60/C5)),(60/C5))/(C8*C7))),(C4*C7*(1-EXP(-(60/C5*C9)/(C8*C7))))*EXP(-(MOD((29/80*(60/C5)),(60/C5))-(60/C5*C9))/(C8*C7))))*1000</f>
        <v/>
      </c>
      <c r="F57" s="27">
        <f>IF(AND(MOD((29/80*(60/C5)),(60/C5))&lt;(60/C5*C9),MOD((29/80*(60/C5)),(60/C5))&lt;C12),-ABS(C11)*SIN(PI()*MOD((29/80*(60/C5)),(60/C5))/C12),0)</f>
        <v/>
      </c>
      <c r="G57" s="27">
        <f>C6*(C10/(C7+C10))+(E57/1000)/C10+F57</f>
        <v/>
      </c>
      <c r="H57" s="27">
        <f>C57-G57</f>
        <v/>
      </c>
      <c r="I57" s="27">
        <f>C6+(E57/1000)/C7</f>
        <v/>
      </c>
    </row>
    <row r="58" ht="12.95" customHeight="1" s="44">
      <c r="B58" s="25">
        <f>(30/80*(60/C5))</f>
        <v/>
      </c>
      <c r="C58" s="25">
        <f>IF(MOD((30/80*(60/C5)),(60/C5))&lt;(60/C5*C9),C6+C4,C6)</f>
        <v/>
      </c>
      <c r="D58" s="25">
        <f>IF(MOD((30/80*(60/C5)),(60/C5))&lt;(60/C5*C9),(C4/C8)*EXP(-MOD((30/80*(60/C5)),(60/C5))/(C8*C7))*60,-((C4*C7*(1-EXP(-(60/C5*C9)/(C8*C7))))/(C8*C7))*EXP(-(MOD((30/80*(60/C5)),(60/C5))-(60/C5*C9))/(C8*C7))*60)</f>
        <v/>
      </c>
      <c r="E58" s="26">
        <f>(IF(MOD((30/80*(60/C5)),(60/C5))&lt;(60/C5*C9),C4*C7*(1-EXP(-MOD((30/80*(60/C5)),(60/C5))/(C8*C7))),(C4*C7*(1-EXP(-(60/C5*C9)/(C8*C7))))*EXP(-(MOD((30/80*(60/C5)),(60/C5))-(60/C5*C9))/(C8*C7))))*1000</f>
        <v/>
      </c>
      <c r="F58" s="25">
        <f>IF(AND(MOD((30/80*(60/C5)),(60/C5))&lt;(60/C5*C9),MOD((30/80*(60/C5)),(60/C5))&lt;C12),-ABS(C11)*SIN(PI()*MOD((30/80*(60/C5)),(60/C5))/C12),0)</f>
        <v/>
      </c>
      <c r="G58" s="25">
        <f>C6*(C10/(C7+C10))+(E58/1000)/C10+F58</f>
        <v/>
      </c>
      <c r="H58" s="25">
        <f>C58-G58</f>
        <v/>
      </c>
      <c r="I58" s="25">
        <f>C6+(E58/1000)/C7</f>
        <v/>
      </c>
    </row>
    <row r="59" ht="12.95" customHeight="1" s="44">
      <c r="B59" s="27">
        <f>(31/80*(60/C5))</f>
        <v/>
      </c>
      <c r="C59" s="27">
        <f>IF(MOD((31/80*(60/C5)),(60/C5))&lt;(60/C5*C9),C6+C4,C6)</f>
        <v/>
      </c>
      <c r="D59" s="27">
        <f>IF(MOD((31/80*(60/C5)),(60/C5))&lt;(60/C5*C9),(C4/C8)*EXP(-MOD((31/80*(60/C5)),(60/C5))/(C8*C7))*60,-((C4*C7*(1-EXP(-(60/C5*C9)/(C8*C7))))/(C8*C7))*EXP(-(MOD((31/80*(60/C5)),(60/C5))-(60/C5*C9))/(C8*C7))*60)</f>
        <v/>
      </c>
      <c r="E59" s="28">
        <f>(IF(MOD((31/80*(60/C5)),(60/C5))&lt;(60/C5*C9),C4*C7*(1-EXP(-MOD((31/80*(60/C5)),(60/C5))/(C8*C7))),(C4*C7*(1-EXP(-(60/C5*C9)/(C8*C7))))*EXP(-(MOD((31/80*(60/C5)),(60/C5))-(60/C5*C9))/(C8*C7))))*1000</f>
        <v/>
      </c>
      <c r="F59" s="27">
        <f>IF(AND(MOD((31/80*(60/C5)),(60/C5))&lt;(60/C5*C9),MOD((31/80*(60/C5)),(60/C5))&lt;C12),-ABS(C11)*SIN(PI()*MOD((31/80*(60/C5)),(60/C5))/C12),0)</f>
        <v/>
      </c>
      <c r="G59" s="27">
        <f>C6*(C10/(C7+C10))+(E59/1000)/C10+F59</f>
        <v/>
      </c>
      <c r="H59" s="27">
        <f>C59-G59</f>
        <v/>
      </c>
      <c r="I59" s="27">
        <f>C6+(E59/1000)/C7</f>
        <v/>
      </c>
    </row>
    <row r="60" ht="12.95" customHeight="1" s="44">
      <c r="B60" s="25">
        <f>(32/80*(60/C5))</f>
        <v/>
      </c>
      <c r="C60" s="25">
        <f>IF(MOD((32/80*(60/C5)),(60/C5))&lt;(60/C5*C9),C6+C4,C6)</f>
        <v/>
      </c>
      <c r="D60" s="25">
        <f>IF(MOD((32/80*(60/C5)),(60/C5))&lt;(60/C5*C9),(C4/C8)*EXP(-MOD((32/80*(60/C5)),(60/C5))/(C8*C7))*60,-((C4*C7*(1-EXP(-(60/C5*C9)/(C8*C7))))/(C8*C7))*EXP(-(MOD((32/80*(60/C5)),(60/C5))-(60/C5*C9))/(C8*C7))*60)</f>
        <v/>
      </c>
      <c r="E60" s="26">
        <f>(IF(MOD((32/80*(60/C5)),(60/C5))&lt;(60/C5*C9),C4*C7*(1-EXP(-MOD((32/80*(60/C5)),(60/C5))/(C8*C7))),(C4*C7*(1-EXP(-(60/C5*C9)/(C8*C7))))*EXP(-(MOD((32/80*(60/C5)),(60/C5))-(60/C5*C9))/(C8*C7))))*1000</f>
        <v/>
      </c>
      <c r="F60" s="25">
        <f>IF(AND(MOD((32/80*(60/C5)),(60/C5))&lt;(60/C5*C9),MOD((32/80*(60/C5)),(60/C5))&lt;C12),-ABS(C11)*SIN(PI()*MOD((32/80*(60/C5)),(60/C5))/C12),0)</f>
        <v/>
      </c>
      <c r="G60" s="25">
        <f>C6*(C10/(C7+C10))+(E60/1000)/C10+F60</f>
        <v/>
      </c>
      <c r="H60" s="25">
        <f>C60-G60</f>
        <v/>
      </c>
      <c r="I60" s="25">
        <f>C6+(E60/1000)/C7</f>
        <v/>
      </c>
    </row>
    <row r="61" ht="12.95" customHeight="1" s="44">
      <c r="B61" s="27">
        <f>(33/80*(60/C5))</f>
        <v/>
      </c>
      <c r="C61" s="27">
        <f>IF(MOD((33/80*(60/C5)),(60/C5))&lt;(60/C5*C9),C6+C4,C6)</f>
        <v/>
      </c>
      <c r="D61" s="27">
        <f>IF(MOD((33/80*(60/C5)),(60/C5))&lt;(60/C5*C9),(C4/C8)*EXP(-MOD((33/80*(60/C5)),(60/C5))/(C8*C7))*60,-((C4*C7*(1-EXP(-(60/C5*C9)/(C8*C7))))/(C8*C7))*EXP(-(MOD((33/80*(60/C5)),(60/C5))-(60/C5*C9))/(C8*C7))*60)</f>
        <v/>
      </c>
      <c r="E61" s="28">
        <f>(IF(MOD((33/80*(60/C5)),(60/C5))&lt;(60/C5*C9),C4*C7*(1-EXP(-MOD((33/80*(60/C5)),(60/C5))/(C8*C7))),(C4*C7*(1-EXP(-(60/C5*C9)/(C8*C7))))*EXP(-(MOD((33/80*(60/C5)),(60/C5))-(60/C5*C9))/(C8*C7))))*1000</f>
        <v/>
      </c>
      <c r="F61" s="27">
        <f>IF(AND(MOD((33/80*(60/C5)),(60/C5))&lt;(60/C5*C9),MOD((33/80*(60/C5)),(60/C5))&lt;C12),-ABS(C11)*SIN(PI()*MOD((33/80*(60/C5)),(60/C5))/C12),0)</f>
        <v/>
      </c>
      <c r="G61" s="27">
        <f>C6*(C10/(C7+C10))+(E61/1000)/C10+F61</f>
        <v/>
      </c>
      <c r="H61" s="27">
        <f>C61-G61</f>
        <v/>
      </c>
      <c r="I61" s="27">
        <f>C6+(E61/1000)/C7</f>
        <v/>
      </c>
    </row>
    <row r="62" ht="12.95" customHeight="1" s="44">
      <c r="B62" s="25">
        <f>(34/80*(60/C5))</f>
        <v/>
      </c>
      <c r="C62" s="25">
        <f>IF(MOD((34/80*(60/C5)),(60/C5))&lt;(60/C5*C9),C6+C4,C6)</f>
        <v/>
      </c>
      <c r="D62" s="25">
        <f>IF(MOD((34/80*(60/C5)),(60/C5))&lt;(60/C5*C9),(C4/C8)*EXP(-MOD((34/80*(60/C5)),(60/C5))/(C8*C7))*60,-((C4*C7*(1-EXP(-(60/C5*C9)/(C8*C7))))/(C8*C7))*EXP(-(MOD((34/80*(60/C5)),(60/C5))-(60/C5*C9))/(C8*C7))*60)</f>
        <v/>
      </c>
      <c r="E62" s="26">
        <f>(IF(MOD((34/80*(60/C5)),(60/C5))&lt;(60/C5*C9),C4*C7*(1-EXP(-MOD((34/80*(60/C5)),(60/C5))/(C8*C7))),(C4*C7*(1-EXP(-(60/C5*C9)/(C8*C7))))*EXP(-(MOD((34/80*(60/C5)),(60/C5))-(60/C5*C9))/(C8*C7))))*1000</f>
        <v/>
      </c>
      <c r="F62" s="25">
        <f>IF(AND(MOD((34/80*(60/C5)),(60/C5))&lt;(60/C5*C9),MOD((34/80*(60/C5)),(60/C5))&lt;C12),-ABS(C11)*SIN(PI()*MOD((34/80*(60/C5)),(60/C5))/C12),0)</f>
        <v/>
      </c>
      <c r="G62" s="25">
        <f>C6*(C10/(C7+C10))+(E62/1000)/C10+F62</f>
        <v/>
      </c>
      <c r="H62" s="25">
        <f>C62-G62</f>
        <v/>
      </c>
      <c r="I62" s="25">
        <f>C6+(E62/1000)/C7</f>
        <v/>
      </c>
    </row>
    <row r="63" ht="12.95" customHeight="1" s="44">
      <c r="B63" s="27">
        <f>(35/80*(60/C5))</f>
        <v/>
      </c>
      <c r="C63" s="27">
        <f>IF(MOD((35/80*(60/C5)),(60/C5))&lt;(60/C5*C9),C6+C4,C6)</f>
        <v/>
      </c>
      <c r="D63" s="27">
        <f>IF(MOD((35/80*(60/C5)),(60/C5))&lt;(60/C5*C9),(C4/C8)*EXP(-MOD((35/80*(60/C5)),(60/C5))/(C8*C7))*60,-((C4*C7*(1-EXP(-(60/C5*C9)/(C8*C7))))/(C8*C7))*EXP(-(MOD((35/80*(60/C5)),(60/C5))-(60/C5*C9))/(C8*C7))*60)</f>
        <v/>
      </c>
      <c r="E63" s="28">
        <f>(IF(MOD((35/80*(60/C5)),(60/C5))&lt;(60/C5*C9),C4*C7*(1-EXP(-MOD((35/80*(60/C5)),(60/C5))/(C8*C7))),(C4*C7*(1-EXP(-(60/C5*C9)/(C8*C7))))*EXP(-(MOD((35/80*(60/C5)),(60/C5))-(60/C5*C9))/(C8*C7))))*1000</f>
        <v/>
      </c>
      <c r="F63" s="27">
        <f>IF(AND(MOD((35/80*(60/C5)),(60/C5))&lt;(60/C5*C9),MOD((35/80*(60/C5)),(60/C5))&lt;C12),-ABS(C11)*SIN(PI()*MOD((35/80*(60/C5)),(60/C5))/C12),0)</f>
        <v/>
      </c>
      <c r="G63" s="27">
        <f>C6*(C10/(C7+C10))+(E63/1000)/C10+F63</f>
        <v/>
      </c>
      <c r="H63" s="27">
        <f>C63-G63</f>
        <v/>
      </c>
      <c r="I63" s="27">
        <f>C6+(E63/1000)/C7</f>
        <v/>
      </c>
    </row>
    <row r="64" ht="12.95" customHeight="1" s="44">
      <c r="B64" s="25">
        <f>(36/80*(60/C5))</f>
        <v/>
      </c>
      <c r="C64" s="25">
        <f>IF(MOD((36/80*(60/C5)),(60/C5))&lt;(60/C5*C9),C6+C4,C6)</f>
        <v/>
      </c>
      <c r="D64" s="25">
        <f>IF(MOD((36/80*(60/C5)),(60/C5))&lt;(60/C5*C9),(C4/C8)*EXP(-MOD((36/80*(60/C5)),(60/C5))/(C8*C7))*60,-((C4*C7*(1-EXP(-(60/C5*C9)/(C8*C7))))/(C8*C7))*EXP(-(MOD((36/80*(60/C5)),(60/C5))-(60/C5*C9))/(C8*C7))*60)</f>
        <v/>
      </c>
      <c r="E64" s="26">
        <f>(IF(MOD((36/80*(60/C5)),(60/C5))&lt;(60/C5*C9),C4*C7*(1-EXP(-MOD((36/80*(60/C5)),(60/C5))/(C8*C7))),(C4*C7*(1-EXP(-(60/C5*C9)/(C8*C7))))*EXP(-(MOD((36/80*(60/C5)),(60/C5))-(60/C5*C9))/(C8*C7))))*1000</f>
        <v/>
      </c>
      <c r="F64" s="25">
        <f>IF(AND(MOD((36/80*(60/C5)),(60/C5))&lt;(60/C5*C9),MOD((36/80*(60/C5)),(60/C5))&lt;C12),-ABS(C11)*SIN(PI()*MOD((36/80*(60/C5)),(60/C5))/C12),0)</f>
        <v/>
      </c>
      <c r="G64" s="25">
        <f>C6*(C10/(C7+C10))+(E64/1000)/C10+F64</f>
        <v/>
      </c>
      <c r="H64" s="25">
        <f>C64-G64</f>
        <v/>
      </c>
      <c r="I64" s="25">
        <f>C6+(E64/1000)/C7</f>
        <v/>
      </c>
    </row>
    <row r="65" ht="12.95" customHeight="1" s="44">
      <c r="B65" s="27">
        <f>(37/80*(60/C5))</f>
        <v/>
      </c>
      <c r="C65" s="27">
        <f>IF(MOD((37/80*(60/C5)),(60/C5))&lt;(60/C5*C9),C6+C4,C6)</f>
        <v/>
      </c>
      <c r="D65" s="27">
        <f>IF(MOD((37/80*(60/C5)),(60/C5))&lt;(60/C5*C9),(C4/C8)*EXP(-MOD((37/80*(60/C5)),(60/C5))/(C8*C7))*60,-((C4*C7*(1-EXP(-(60/C5*C9)/(C8*C7))))/(C8*C7))*EXP(-(MOD((37/80*(60/C5)),(60/C5))-(60/C5*C9))/(C8*C7))*60)</f>
        <v/>
      </c>
      <c r="E65" s="28">
        <f>(IF(MOD((37/80*(60/C5)),(60/C5))&lt;(60/C5*C9),C4*C7*(1-EXP(-MOD((37/80*(60/C5)),(60/C5))/(C8*C7))),(C4*C7*(1-EXP(-(60/C5*C9)/(C8*C7))))*EXP(-(MOD((37/80*(60/C5)),(60/C5))-(60/C5*C9))/(C8*C7))))*1000</f>
        <v/>
      </c>
      <c r="F65" s="27">
        <f>IF(AND(MOD((37/80*(60/C5)),(60/C5))&lt;(60/C5*C9),MOD((37/80*(60/C5)),(60/C5))&lt;C12),-ABS(C11)*SIN(PI()*MOD((37/80*(60/C5)),(60/C5))/C12),0)</f>
        <v/>
      </c>
      <c r="G65" s="27">
        <f>C6*(C10/(C7+C10))+(E65/1000)/C10+F65</f>
        <v/>
      </c>
      <c r="H65" s="27">
        <f>C65-G65</f>
        <v/>
      </c>
      <c r="I65" s="27">
        <f>C6+(E65/1000)/C7</f>
        <v/>
      </c>
    </row>
    <row r="66" ht="12.95" customHeight="1" s="44">
      <c r="B66" s="25">
        <f>(38/80*(60/C5))</f>
        <v/>
      </c>
      <c r="C66" s="25">
        <f>IF(MOD((38/80*(60/C5)),(60/C5))&lt;(60/C5*C9),C6+C4,C6)</f>
        <v/>
      </c>
      <c r="D66" s="25">
        <f>IF(MOD((38/80*(60/C5)),(60/C5))&lt;(60/C5*C9),(C4/C8)*EXP(-MOD((38/80*(60/C5)),(60/C5))/(C8*C7))*60,-((C4*C7*(1-EXP(-(60/C5*C9)/(C8*C7))))/(C8*C7))*EXP(-(MOD((38/80*(60/C5)),(60/C5))-(60/C5*C9))/(C8*C7))*60)</f>
        <v/>
      </c>
      <c r="E66" s="26">
        <f>(IF(MOD((38/80*(60/C5)),(60/C5))&lt;(60/C5*C9),C4*C7*(1-EXP(-MOD((38/80*(60/C5)),(60/C5))/(C8*C7))),(C4*C7*(1-EXP(-(60/C5*C9)/(C8*C7))))*EXP(-(MOD((38/80*(60/C5)),(60/C5))-(60/C5*C9))/(C8*C7))))*1000</f>
        <v/>
      </c>
      <c r="F66" s="25">
        <f>IF(AND(MOD((38/80*(60/C5)),(60/C5))&lt;(60/C5*C9),MOD((38/80*(60/C5)),(60/C5))&lt;C12),-ABS(C11)*SIN(PI()*MOD((38/80*(60/C5)),(60/C5))/C12),0)</f>
        <v/>
      </c>
      <c r="G66" s="25">
        <f>C6*(C10/(C7+C10))+(E66/1000)/C10+F66</f>
        <v/>
      </c>
      <c r="H66" s="25">
        <f>C66-G66</f>
        <v/>
      </c>
      <c r="I66" s="25">
        <f>C6+(E66/1000)/C7</f>
        <v/>
      </c>
    </row>
    <row r="67" ht="12.95" customHeight="1" s="44">
      <c r="B67" s="27">
        <f>(39/80*(60/C5))</f>
        <v/>
      </c>
      <c r="C67" s="27">
        <f>IF(MOD((39/80*(60/C5)),(60/C5))&lt;(60/C5*C9),C6+C4,C6)</f>
        <v/>
      </c>
      <c r="D67" s="27">
        <f>IF(MOD((39/80*(60/C5)),(60/C5))&lt;(60/C5*C9),(C4/C8)*EXP(-MOD((39/80*(60/C5)),(60/C5))/(C8*C7))*60,-((C4*C7*(1-EXP(-(60/C5*C9)/(C8*C7))))/(C8*C7))*EXP(-(MOD((39/80*(60/C5)),(60/C5))-(60/C5*C9))/(C8*C7))*60)</f>
        <v/>
      </c>
      <c r="E67" s="28">
        <f>(IF(MOD((39/80*(60/C5)),(60/C5))&lt;(60/C5*C9),C4*C7*(1-EXP(-MOD((39/80*(60/C5)),(60/C5))/(C8*C7))),(C4*C7*(1-EXP(-(60/C5*C9)/(C8*C7))))*EXP(-(MOD((39/80*(60/C5)),(60/C5))-(60/C5*C9))/(C8*C7))))*1000</f>
        <v/>
      </c>
      <c r="F67" s="27">
        <f>IF(AND(MOD((39/80*(60/C5)),(60/C5))&lt;(60/C5*C9),MOD((39/80*(60/C5)),(60/C5))&lt;C12),-ABS(C11)*SIN(PI()*MOD((39/80*(60/C5)),(60/C5))/C12),0)</f>
        <v/>
      </c>
      <c r="G67" s="27">
        <f>C6*(C10/(C7+C10))+(E67/1000)/C10+F67</f>
        <v/>
      </c>
      <c r="H67" s="27">
        <f>C67-G67</f>
        <v/>
      </c>
      <c r="I67" s="27">
        <f>C6+(E67/1000)/C7</f>
        <v/>
      </c>
    </row>
    <row r="68" ht="12.95" customHeight="1" s="44">
      <c r="B68" s="25">
        <f>(40/80*(60/C5))</f>
        <v/>
      </c>
      <c r="C68" s="25">
        <f>IF(MOD((40/80*(60/C5)),(60/C5))&lt;(60/C5*C9),C6+C4,C6)</f>
        <v/>
      </c>
      <c r="D68" s="25">
        <f>IF(MOD((40/80*(60/C5)),(60/C5))&lt;(60/C5*C9),(C4/C8)*EXP(-MOD((40/80*(60/C5)),(60/C5))/(C8*C7))*60,-((C4*C7*(1-EXP(-(60/C5*C9)/(C8*C7))))/(C8*C7))*EXP(-(MOD((40/80*(60/C5)),(60/C5))-(60/C5*C9))/(C8*C7))*60)</f>
        <v/>
      </c>
      <c r="E68" s="26">
        <f>(IF(MOD((40/80*(60/C5)),(60/C5))&lt;(60/C5*C9),C4*C7*(1-EXP(-MOD((40/80*(60/C5)),(60/C5))/(C8*C7))),(C4*C7*(1-EXP(-(60/C5*C9)/(C8*C7))))*EXP(-(MOD((40/80*(60/C5)),(60/C5))-(60/C5*C9))/(C8*C7))))*1000</f>
        <v/>
      </c>
      <c r="F68" s="25">
        <f>IF(AND(MOD((40/80*(60/C5)),(60/C5))&lt;(60/C5*C9),MOD((40/80*(60/C5)),(60/C5))&lt;C12),-ABS(C11)*SIN(PI()*MOD((40/80*(60/C5)),(60/C5))/C12),0)</f>
        <v/>
      </c>
      <c r="G68" s="25">
        <f>C6*(C10/(C7+C10))+(E68/1000)/C10+F68</f>
        <v/>
      </c>
      <c r="H68" s="25">
        <f>C68-G68</f>
        <v/>
      </c>
      <c r="I68" s="25">
        <f>C6+(E68/1000)/C7</f>
        <v/>
      </c>
    </row>
    <row r="69" ht="12.95" customHeight="1" s="44">
      <c r="B69" s="27">
        <f>(41/80*(60/C5))</f>
        <v/>
      </c>
      <c r="C69" s="27">
        <f>IF(MOD((41/80*(60/C5)),(60/C5))&lt;(60/C5*C9),C6+C4,C6)</f>
        <v/>
      </c>
      <c r="D69" s="27">
        <f>IF(MOD((41/80*(60/C5)),(60/C5))&lt;(60/C5*C9),(C4/C8)*EXP(-MOD((41/80*(60/C5)),(60/C5))/(C8*C7))*60,-((C4*C7*(1-EXP(-(60/C5*C9)/(C8*C7))))/(C8*C7))*EXP(-(MOD((41/80*(60/C5)),(60/C5))-(60/C5*C9))/(C8*C7))*60)</f>
        <v/>
      </c>
      <c r="E69" s="28">
        <f>(IF(MOD((41/80*(60/C5)),(60/C5))&lt;(60/C5*C9),C4*C7*(1-EXP(-MOD((41/80*(60/C5)),(60/C5))/(C8*C7))),(C4*C7*(1-EXP(-(60/C5*C9)/(C8*C7))))*EXP(-(MOD((41/80*(60/C5)),(60/C5))-(60/C5*C9))/(C8*C7))))*1000</f>
        <v/>
      </c>
      <c r="F69" s="27">
        <f>IF(AND(MOD((41/80*(60/C5)),(60/C5))&lt;(60/C5*C9),MOD((41/80*(60/C5)),(60/C5))&lt;C12),-ABS(C11)*SIN(PI()*MOD((41/80*(60/C5)),(60/C5))/C12),0)</f>
        <v/>
      </c>
      <c r="G69" s="27">
        <f>C6*(C10/(C7+C10))+(E69/1000)/C10+F69</f>
        <v/>
      </c>
      <c r="H69" s="27">
        <f>C69-G69</f>
        <v/>
      </c>
      <c r="I69" s="27">
        <f>C6+(E69/1000)/C7</f>
        <v/>
      </c>
    </row>
    <row r="70" ht="12.95" customHeight="1" s="44">
      <c r="B70" s="25">
        <f>(42/80*(60/C5))</f>
        <v/>
      </c>
      <c r="C70" s="25">
        <f>IF(MOD((42/80*(60/C5)),(60/C5))&lt;(60/C5*C9),C6+C4,C6)</f>
        <v/>
      </c>
      <c r="D70" s="25">
        <f>IF(MOD((42/80*(60/C5)),(60/C5))&lt;(60/C5*C9),(C4/C8)*EXP(-MOD((42/80*(60/C5)),(60/C5))/(C8*C7))*60,-((C4*C7*(1-EXP(-(60/C5*C9)/(C8*C7))))/(C8*C7))*EXP(-(MOD((42/80*(60/C5)),(60/C5))-(60/C5*C9))/(C8*C7))*60)</f>
        <v/>
      </c>
      <c r="E70" s="26">
        <f>(IF(MOD((42/80*(60/C5)),(60/C5))&lt;(60/C5*C9),C4*C7*(1-EXP(-MOD((42/80*(60/C5)),(60/C5))/(C8*C7))),(C4*C7*(1-EXP(-(60/C5*C9)/(C8*C7))))*EXP(-(MOD((42/80*(60/C5)),(60/C5))-(60/C5*C9))/(C8*C7))))*1000</f>
        <v/>
      </c>
      <c r="F70" s="25">
        <f>IF(AND(MOD((42/80*(60/C5)),(60/C5))&lt;(60/C5*C9),MOD((42/80*(60/C5)),(60/C5))&lt;C12),-ABS(C11)*SIN(PI()*MOD((42/80*(60/C5)),(60/C5))/C12),0)</f>
        <v/>
      </c>
      <c r="G70" s="25">
        <f>C6*(C10/(C7+C10))+(E70/1000)/C10+F70</f>
        <v/>
      </c>
      <c r="H70" s="25">
        <f>C70-G70</f>
        <v/>
      </c>
      <c r="I70" s="25">
        <f>C6+(E70/1000)/C7</f>
        <v/>
      </c>
    </row>
    <row r="71" ht="12.95" customHeight="1" s="44">
      <c r="B71" s="27">
        <f>(43/80*(60/C5))</f>
        <v/>
      </c>
      <c r="C71" s="27">
        <f>IF(MOD((43/80*(60/C5)),(60/C5))&lt;(60/C5*C9),C6+C4,C6)</f>
        <v/>
      </c>
      <c r="D71" s="27">
        <f>IF(MOD((43/80*(60/C5)),(60/C5))&lt;(60/C5*C9),(C4/C8)*EXP(-MOD((43/80*(60/C5)),(60/C5))/(C8*C7))*60,-((C4*C7*(1-EXP(-(60/C5*C9)/(C8*C7))))/(C8*C7))*EXP(-(MOD((43/80*(60/C5)),(60/C5))-(60/C5*C9))/(C8*C7))*60)</f>
        <v/>
      </c>
      <c r="E71" s="28">
        <f>(IF(MOD((43/80*(60/C5)),(60/C5))&lt;(60/C5*C9),C4*C7*(1-EXP(-MOD((43/80*(60/C5)),(60/C5))/(C8*C7))),(C4*C7*(1-EXP(-(60/C5*C9)/(C8*C7))))*EXP(-(MOD((43/80*(60/C5)),(60/C5))-(60/C5*C9))/(C8*C7))))*1000</f>
        <v/>
      </c>
      <c r="F71" s="27">
        <f>IF(AND(MOD((43/80*(60/C5)),(60/C5))&lt;(60/C5*C9),MOD((43/80*(60/C5)),(60/C5))&lt;C12),-ABS(C11)*SIN(PI()*MOD((43/80*(60/C5)),(60/C5))/C12),0)</f>
        <v/>
      </c>
      <c r="G71" s="27">
        <f>C6*(C10/(C7+C10))+(E71/1000)/C10+F71</f>
        <v/>
      </c>
      <c r="H71" s="27">
        <f>C71-G71</f>
        <v/>
      </c>
      <c r="I71" s="27">
        <f>C6+(E71/1000)/C7</f>
        <v/>
      </c>
    </row>
    <row r="72" ht="12.95" customHeight="1" s="44">
      <c r="B72" s="25">
        <f>(44/80*(60/C5))</f>
        <v/>
      </c>
      <c r="C72" s="25">
        <f>IF(MOD((44/80*(60/C5)),(60/C5))&lt;(60/C5*C9),C6+C4,C6)</f>
        <v/>
      </c>
      <c r="D72" s="25">
        <f>IF(MOD((44/80*(60/C5)),(60/C5))&lt;(60/C5*C9),(C4/C8)*EXP(-MOD((44/80*(60/C5)),(60/C5))/(C8*C7))*60,-((C4*C7*(1-EXP(-(60/C5*C9)/(C8*C7))))/(C8*C7))*EXP(-(MOD((44/80*(60/C5)),(60/C5))-(60/C5*C9))/(C8*C7))*60)</f>
        <v/>
      </c>
      <c r="E72" s="26">
        <f>(IF(MOD((44/80*(60/C5)),(60/C5))&lt;(60/C5*C9),C4*C7*(1-EXP(-MOD((44/80*(60/C5)),(60/C5))/(C8*C7))),(C4*C7*(1-EXP(-(60/C5*C9)/(C8*C7))))*EXP(-(MOD((44/80*(60/C5)),(60/C5))-(60/C5*C9))/(C8*C7))))*1000</f>
        <v/>
      </c>
      <c r="F72" s="25">
        <f>IF(AND(MOD((44/80*(60/C5)),(60/C5))&lt;(60/C5*C9),MOD((44/80*(60/C5)),(60/C5))&lt;C12),-ABS(C11)*SIN(PI()*MOD((44/80*(60/C5)),(60/C5))/C12),0)</f>
        <v/>
      </c>
      <c r="G72" s="25">
        <f>C6*(C10/(C7+C10))+(E72/1000)/C10+F72</f>
        <v/>
      </c>
      <c r="H72" s="25">
        <f>C72-G72</f>
        <v/>
      </c>
      <c r="I72" s="25">
        <f>C6+(E72/1000)/C7</f>
        <v/>
      </c>
    </row>
    <row r="73" ht="12.95" customHeight="1" s="44">
      <c r="B73" s="27">
        <f>(45/80*(60/C5))</f>
        <v/>
      </c>
      <c r="C73" s="27">
        <f>IF(MOD((45/80*(60/C5)),(60/C5))&lt;(60/C5*C9),C6+C4,C6)</f>
        <v/>
      </c>
      <c r="D73" s="27">
        <f>IF(MOD((45/80*(60/C5)),(60/C5))&lt;(60/C5*C9),(C4/C8)*EXP(-MOD((45/80*(60/C5)),(60/C5))/(C8*C7))*60,-((C4*C7*(1-EXP(-(60/C5*C9)/(C8*C7))))/(C8*C7))*EXP(-(MOD((45/80*(60/C5)),(60/C5))-(60/C5*C9))/(C8*C7))*60)</f>
        <v/>
      </c>
      <c r="E73" s="28">
        <f>(IF(MOD((45/80*(60/C5)),(60/C5))&lt;(60/C5*C9),C4*C7*(1-EXP(-MOD((45/80*(60/C5)),(60/C5))/(C8*C7))),(C4*C7*(1-EXP(-(60/C5*C9)/(C8*C7))))*EXP(-(MOD((45/80*(60/C5)),(60/C5))-(60/C5*C9))/(C8*C7))))*1000</f>
        <v/>
      </c>
      <c r="F73" s="27">
        <f>IF(AND(MOD((45/80*(60/C5)),(60/C5))&lt;(60/C5*C9),MOD((45/80*(60/C5)),(60/C5))&lt;C12),-ABS(C11)*SIN(PI()*MOD((45/80*(60/C5)),(60/C5))/C12),0)</f>
        <v/>
      </c>
      <c r="G73" s="27">
        <f>C6*(C10/(C7+C10))+(E73/1000)/C10+F73</f>
        <v/>
      </c>
      <c r="H73" s="27">
        <f>C73-G73</f>
        <v/>
      </c>
      <c r="I73" s="27">
        <f>C6+(E73/1000)/C7</f>
        <v/>
      </c>
    </row>
    <row r="74" ht="12.95" customHeight="1" s="44">
      <c r="B74" s="25">
        <f>(46/80*(60/C5))</f>
        <v/>
      </c>
      <c r="C74" s="25">
        <f>IF(MOD((46/80*(60/C5)),(60/C5))&lt;(60/C5*C9),C6+C4,C6)</f>
        <v/>
      </c>
      <c r="D74" s="25">
        <f>IF(MOD((46/80*(60/C5)),(60/C5))&lt;(60/C5*C9),(C4/C8)*EXP(-MOD((46/80*(60/C5)),(60/C5))/(C8*C7))*60,-((C4*C7*(1-EXP(-(60/C5*C9)/(C8*C7))))/(C8*C7))*EXP(-(MOD((46/80*(60/C5)),(60/C5))-(60/C5*C9))/(C8*C7))*60)</f>
        <v/>
      </c>
      <c r="E74" s="26">
        <f>(IF(MOD((46/80*(60/C5)),(60/C5))&lt;(60/C5*C9),C4*C7*(1-EXP(-MOD((46/80*(60/C5)),(60/C5))/(C8*C7))),(C4*C7*(1-EXP(-(60/C5*C9)/(C8*C7))))*EXP(-(MOD((46/80*(60/C5)),(60/C5))-(60/C5*C9))/(C8*C7))))*1000</f>
        <v/>
      </c>
      <c r="F74" s="25">
        <f>IF(AND(MOD((46/80*(60/C5)),(60/C5))&lt;(60/C5*C9),MOD((46/80*(60/C5)),(60/C5))&lt;C12),-ABS(C11)*SIN(PI()*MOD((46/80*(60/C5)),(60/C5))/C12),0)</f>
        <v/>
      </c>
      <c r="G74" s="25">
        <f>C6*(C10/(C7+C10))+(E74/1000)/C10+F74</f>
        <v/>
      </c>
      <c r="H74" s="25">
        <f>C74-G74</f>
        <v/>
      </c>
      <c r="I74" s="25">
        <f>C6+(E74/1000)/C7</f>
        <v/>
      </c>
    </row>
    <row r="75" ht="12.95" customHeight="1" s="44">
      <c r="B75" s="27">
        <f>(47/80*(60/C5))</f>
        <v/>
      </c>
      <c r="C75" s="27">
        <f>IF(MOD((47/80*(60/C5)),(60/C5))&lt;(60/C5*C9),C6+C4,C6)</f>
        <v/>
      </c>
      <c r="D75" s="27">
        <f>IF(MOD((47/80*(60/C5)),(60/C5))&lt;(60/C5*C9),(C4/C8)*EXP(-MOD((47/80*(60/C5)),(60/C5))/(C8*C7))*60,-((C4*C7*(1-EXP(-(60/C5*C9)/(C8*C7))))/(C8*C7))*EXP(-(MOD((47/80*(60/C5)),(60/C5))-(60/C5*C9))/(C8*C7))*60)</f>
        <v/>
      </c>
      <c r="E75" s="28">
        <f>(IF(MOD((47/80*(60/C5)),(60/C5))&lt;(60/C5*C9),C4*C7*(1-EXP(-MOD((47/80*(60/C5)),(60/C5))/(C8*C7))),(C4*C7*(1-EXP(-(60/C5*C9)/(C8*C7))))*EXP(-(MOD((47/80*(60/C5)),(60/C5))-(60/C5*C9))/(C8*C7))))*1000</f>
        <v/>
      </c>
      <c r="F75" s="27">
        <f>IF(AND(MOD((47/80*(60/C5)),(60/C5))&lt;(60/C5*C9),MOD((47/80*(60/C5)),(60/C5))&lt;C12),-ABS(C11)*SIN(PI()*MOD((47/80*(60/C5)),(60/C5))/C12),0)</f>
        <v/>
      </c>
      <c r="G75" s="27">
        <f>C6*(C10/(C7+C10))+(E75/1000)/C10+F75</f>
        <v/>
      </c>
      <c r="H75" s="27">
        <f>C75-G75</f>
        <v/>
      </c>
      <c r="I75" s="27">
        <f>C6+(E75/1000)/C7</f>
        <v/>
      </c>
    </row>
    <row r="76" ht="12.95" customHeight="1" s="44">
      <c r="B76" s="25">
        <f>(48/80*(60/C5))</f>
        <v/>
      </c>
      <c r="C76" s="25">
        <f>IF(MOD((48/80*(60/C5)),(60/C5))&lt;(60/C5*C9),C6+C4,C6)</f>
        <v/>
      </c>
      <c r="D76" s="25">
        <f>IF(MOD((48/80*(60/C5)),(60/C5))&lt;(60/C5*C9),(C4/C8)*EXP(-MOD((48/80*(60/C5)),(60/C5))/(C8*C7))*60,-((C4*C7*(1-EXP(-(60/C5*C9)/(C8*C7))))/(C8*C7))*EXP(-(MOD((48/80*(60/C5)),(60/C5))-(60/C5*C9))/(C8*C7))*60)</f>
        <v/>
      </c>
      <c r="E76" s="26">
        <f>(IF(MOD((48/80*(60/C5)),(60/C5))&lt;(60/C5*C9),C4*C7*(1-EXP(-MOD((48/80*(60/C5)),(60/C5))/(C8*C7))),(C4*C7*(1-EXP(-(60/C5*C9)/(C8*C7))))*EXP(-(MOD((48/80*(60/C5)),(60/C5))-(60/C5*C9))/(C8*C7))))*1000</f>
        <v/>
      </c>
      <c r="F76" s="25">
        <f>IF(AND(MOD((48/80*(60/C5)),(60/C5))&lt;(60/C5*C9),MOD((48/80*(60/C5)),(60/C5))&lt;C12),-ABS(C11)*SIN(PI()*MOD((48/80*(60/C5)),(60/C5))/C12),0)</f>
        <v/>
      </c>
      <c r="G76" s="25">
        <f>C6*(C10/(C7+C10))+(E76/1000)/C10+F76</f>
        <v/>
      </c>
      <c r="H76" s="25">
        <f>C76-G76</f>
        <v/>
      </c>
      <c r="I76" s="25">
        <f>C6+(E76/1000)/C7</f>
        <v/>
      </c>
    </row>
    <row r="77" ht="12.95" customHeight="1" s="44">
      <c r="B77" s="27">
        <f>(49/80*(60/C5))</f>
        <v/>
      </c>
      <c r="C77" s="27">
        <f>IF(MOD((49/80*(60/C5)),(60/C5))&lt;(60/C5*C9),C6+C4,C6)</f>
        <v/>
      </c>
      <c r="D77" s="27">
        <f>IF(MOD((49/80*(60/C5)),(60/C5))&lt;(60/C5*C9),(C4/C8)*EXP(-MOD((49/80*(60/C5)),(60/C5))/(C8*C7))*60,-((C4*C7*(1-EXP(-(60/C5*C9)/(C8*C7))))/(C8*C7))*EXP(-(MOD((49/80*(60/C5)),(60/C5))-(60/C5*C9))/(C8*C7))*60)</f>
        <v/>
      </c>
      <c r="E77" s="28">
        <f>(IF(MOD((49/80*(60/C5)),(60/C5))&lt;(60/C5*C9),C4*C7*(1-EXP(-MOD((49/80*(60/C5)),(60/C5))/(C8*C7))),(C4*C7*(1-EXP(-(60/C5*C9)/(C8*C7))))*EXP(-(MOD((49/80*(60/C5)),(60/C5))-(60/C5*C9))/(C8*C7))))*1000</f>
        <v/>
      </c>
      <c r="F77" s="27">
        <f>IF(AND(MOD((49/80*(60/C5)),(60/C5))&lt;(60/C5*C9),MOD((49/80*(60/C5)),(60/C5))&lt;C12),-ABS(C11)*SIN(PI()*MOD((49/80*(60/C5)),(60/C5))/C12),0)</f>
        <v/>
      </c>
      <c r="G77" s="27">
        <f>C6*(C10/(C7+C10))+(E77/1000)/C10+F77</f>
        <v/>
      </c>
      <c r="H77" s="27">
        <f>C77-G77</f>
        <v/>
      </c>
      <c r="I77" s="27">
        <f>C6+(E77/1000)/C7</f>
        <v/>
      </c>
    </row>
    <row r="78" ht="12.95" customHeight="1" s="44">
      <c r="B78" s="25">
        <f>(50/80*(60/C5))</f>
        <v/>
      </c>
      <c r="C78" s="25">
        <f>IF(MOD((50/80*(60/C5)),(60/C5))&lt;(60/C5*C9),C6+C4,C6)</f>
        <v/>
      </c>
      <c r="D78" s="25">
        <f>IF(MOD((50/80*(60/C5)),(60/C5))&lt;(60/C5*C9),(C4/C8)*EXP(-MOD((50/80*(60/C5)),(60/C5))/(C8*C7))*60,-((C4*C7*(1-EXP(-(60/C5*C9)/(C8*C7))))/(C8*C7))*EXP(-(MOD((50/80*(60/C5)),(60/C5))-(60/C5*C9))/(C8*C7))*60)</f>
        <v/>
      </c>
      <c r="E78" s="26">
        <f>(IF(MOD((50/80*(60/C5)),(60/C5))&lt;(60/C5*C9),C4*C7*(1-EXP(-MOD((50/80*(60/C5)),(60/C5))/(C8*C7))),(C4*C7*(1-EXP(-(60/C5*C9)/(C8*C7))))*EXP(-(MOD((50/80*(60/C5)),(60/C5))-(60/C5*C9))/(C8*C7))))*1000</f>
        <v/>
      </c>
      <c r="F78" s="25">
        <f>IF(AND(MOD((50/80*(60/C5)),(60/C5))&lt;(60/C5*C9),MOD((50/80*(60/C5)),(60/C5))&lt;C12),-ABS(C11)*SIN(PI()*MOD((50/80*(60/C5)),(60/C5))/C12),0)</f>
        <v/>
      </c>
      <c r="G78" s="25">
        <f>C6*(C10/(C7+C10))+(E78/1000)/C10+F78</f>
        <v/>
      </c>
      <c r="H78" s="25">
        <f>C78-G78</f>
        <v/>
      </c>
      <c r="I78" s="25">
        <f>C6+(E78/1000)/C7</f>
        <v/>
      </c>
    </row>
    <row r="79" ht="12.95" customHeight="1" s="44">
      <c r="B79" s="27">
        <f>(51/80*(60/C5))</f>
        <v/>
      </c>
      <c r="C79" s="27">
        <f>IF(MOD((51/80*(60/C5)),(60/C5))&lt;(60/C5*C9),C6+C4,C6)</f>
        <v/>
      </c>
      <c r="D79" s="27">
        <f>IF(MOD((51/80*(60/C5)),(60/C5))&lt;(60/C5*C9),(C4/C8)*EXP(-MOD((51/80*(60/C5)),(60/C5))/(C8*C7))*60,-((C4*C7*(1-EXP(-(60/C5*C9)/(C8*C7))))/(C8*C7))*EXP(-(MOD((51/80*(60/C5)),(60/C5))-(60/C5*C9))/(C8*C7))*60)</f>
        <v/>
      </c>
      <c r="E79" s="28">
        <f>(IF(MOD((51/80*(60/C5)),(60/C5))&lt;(60/C5*C9),C4*C7*(1-EXP(-MOD((51/80*(60/C5)),(60/C5))/(C8*C7))),(C4*C7*(1-EXP(-(60/C5*C9)/(C8*C7))))*EXP(-(MOD((51/80*(60/C5)),(60/C5))-(60/C5*C9))/(C8*C7))))*1000</f>
        <v/>
      </c>
      <c r="F79" s="27">
        <f>IF(AND(MOD((51/80*(60/C5)),(60/C5))&lt;(60/C5*C9),MOD((51/80*(60/C5)),(60/C5))&lt;C12),-ABS(C11)*SIN(PI()*MOD((51/80*(60/C5)),(60/C5))/C12),0)</f>
        <v/>
      </c>
      <c r="G79" s="27">
        <f>C6*(C10/(C7+C10))+(E79/1000)/C10+F79</f>
        <v/>
      </c>
      <c r="H79" s="27">
        <f>C79-G79</f>
        <v/>
      </c>
      <c r="I79" s="27">
        <f>C6+(E79/1000)/C7</f>
        <v/>
      </c>
    </row>
    <row r="80" ht="12.95" customHeight="1" s="44">
      <c r="B80" s="25">
        <f>(52/80*(60/C5))</f>
        <v/>
      </c>
      <c r="C80" s="25">
        <f>IF(MOD((52/80*(60/C5)),(60/C5))&lt;(60/C5*C9),C6+C4,C6)</f>
        <v/>
      </c>
      <c r="D80" s="25">
        <f>IF(MOD((52/80*(60/C5)),(60/C5))&lt;(60/C5*C9),(C4/C8)*EXP(-MOD((52/80*(60/C5)),(60/C5))/(C8*C7))*60,-((C4*C7*(1-EXP(-(60/C5*C9)/(C8*C7))))/(C8*C7))*EXP(-(MOD((52/80*(60/C5)),(60/C5))-(60/C5*C9))/(C8*C7))*60)</f>
        <v/>
      </c>
      <c r="E80" s="26">
        <f>(IF(MOD((52/80*(60/C5)),(60/C5))&lt;(60/C5*C9),C4*C7*(1-EXP(-MOD((52/80*(60/C5)),(60/C5))/(C8*C7))),(C4*C7*(1-EXP(-(60/C5*C9)/(C8*C7))))*EXP(-(MOD((52/80*(60/C5)),(60/C5))-(60/C5*C9))/(C8*C7))))*1000</f>
        <v/>
      </c>
      <c r="F80" s="25">
        <f>IF(AND(MOD((52/80*(60/C5)),(60/C5))&lt;(60/C5*C9),MOD((52/80*(60/C5)),(60/C5))&lt;C12),-ABS(C11)*SIN(PI()*MOD((52/80*(60/C5)),(60/C5))/C12),0)</f>
        <v/>
      </c>
      <c r="G80" s="25">
        <f>C6*(C10/(C7+C10))+(E80/1000)/C10+F80</f>
        <v/>
      </c>
      <c r="H80" s="25">
        <f>C80-G80</f>
        <v/>
      </c>
      <c r="I80" s="25">
        <f>C6+(E80/1000)/C7</f>
        <v/>
      </c>
    </row>
    <row r="81" ht="12.95" customHeight="1" s="44">
      <c r="B81" s="27">
        <f>(53/80*(60/C5))</f>
        <v/>
      </c>
      <c r="C81" s="27">
        <f>IF(MOD((53/80*(60/C5)),(60/C5))&lt;(60/C5*C9),C6+C4,C6)</f>
        <v/>
      </c>
      <c r="D81" s="27">
        <f>IF(MOD((53/80*(60/C5)),(60/C5))&lt;(60/C5*C9),(C4/C8)*EXP(-MOD((53/80*(60/C5)),(60/C5))/(C8*C7))*60,-((C4*C7*(1-EXP(-(60/C5*C9)/(C8*C7))))/(C8*C7))*EXP(-(MOD((53/80*(60/C5)),(60/C5))-(60/C5*C9))/(C8*C7))*60)</f>
        <v/>
      </c>
      <c r="E81" s="28">
        <f>(IF(MOD((53/80*(60/C5)),(60/C5))&lt;(60/C5*C9),C4*C7*(1-EXP(-MOD((53/80*(60/C5)),(60/C5))/(C8*C7))),(C4*C7*(1-EXP(-(60/C5*C9)/(C8*C7))))*EXP(-(MOD((53/80*(60/C5)),(60/C5))-(60/C5*C9))/(C8*C7))))*1000</f>
        <v/>
      </c>
      <c r="F81" s="27">
        <f>IF(AND(MOD((53/80*(60/C5)),(60/C5))&lt;(60/C5*C9),MOD((53/80*(60/C5)),(60/C5))&lt;C12),-ABS(C11)*SIN(PI()*MOD((53/80*(60/C5)),(60/C5))/C12),0)</f>
        <v/>
      </c>
      <c r="G81" s="27">
        <f>C6*(C10/(C7+C10))+(E81/1000)/C10+F81</f>
        <v/>
      </c>
      <c r="H81" s="27">
        <f>C81-G81</f>
        <v/>
      </c>
      <c r="I81" s="27">
        <f>C6+(E81/1000)/C7</f>
        <v/>
      </c>
    </row>
    <row r="82" ht="12.95" customHeight="1" s="44">
      <c r="B82" s="25">
        <f>(54/80*(60/C5))</f>
        <v/>
      </c>
      <c r="C82" s="25">
        <f>IF(MOD((54/80*(60/C5)),(60/C5))&lt;(60/C5*C9),C6+C4,C6)</f>
        <v/>
      </c>
      <c r="D82" s="25">
        <f>IF(MOD((54/80*(60/C5)),(60/C5))&lt;(60/C5*C9),(C4/C8)*EXP(-MOD((54/80*(60/C5)),(60/C5))/(C8*C7))*60,-((C4*C7*(1-EXP(-(60/C5*C9)/(C8*C7))))/(C8*C7))*EXP(-(MOD((54/80*(60/C5)),(60/C5))-(60/C5*C9))/(C8*C7))*60)</f>
        <v/>
      </c>
      <c r="E82" s="26">
        <f>(IF(MOD((54/80*(60/C5)),(60/C5))&lt;(60/C5*C9),C4*C7*(1-EXP(-MOD((54/80*(60/C5)),(60/C5))/(C8*C7))),(C4*C7*(1-EXP(-(60/C5*C9)/(C8*C7))))*EXP(-(MOD((54/80*(60/C5)),(60/C5))-(60/C5*C9))/(C8*C7))))*1000</f>
        <v/>
      </c>
      <c r="F82" s="25">
        <f>IF(AND(MOD((54/80*(60/C5)),(60/C5))&lt;(60/C5*C9),MOD((54/80*(60/C5)),(60/C5))&lt;C12),-ABS(C11)*SIN(PI()*MOD((54/80*(60/C5)),(60/C5))/C12),0)</f>
        <v/>
      </c>
      <c r="G82" s="25">
        <f>C6*(C10/(C7+C10))+(E82/1000)/C10+F82</f>
        <v/>
      </c>
      <c r="H82" s="25">
        <f>C82-G82</f>
        <v/>
      </c>
      <c r="I82" s="25">
        <f>C6+(E82/1000)/C7</f>
        <v/>
      </c>
    </row>
    <row r="83" ht="12.95" customHeight="1" s="44">
      <c r="B83" s="27">
        <f>(55/80*(60/C5))</f>
        <v/>
      </c>
      <c r="C83" s="27">
        <f>IF(MOD((55/80*(60/C5)),(60/C5))&lt;(60/C5*C9),C6+C4,C6)</f>
        <v/>
      </c>
      <c r="D83" s="27">
        <f>IF(MOD((55/80*(60/C5)),(60/C5))&lt;(60/C5*C9),(C4/C8)*EXP(-MOD((55/80*(60/C5)),(60/C5))/(C8*C7))*60,-((C4*C7*(1-EXP(-(60/C5*C9)/(C8*C7))))/(C8*C7))*EXP(-(MOD((55/80*(60/C5)),(60/C5))-(60/C5*C9))/(C8*C7))*60)</f>
        <v/>
      </c>
      <c r="E83" s="28">
        <f>(IF(MOD((55/80*(60/C5)),(60/C5))&lt;(60/C5*C9),C4*C7*(1-EXP(-MOD((55/80*(60/C5)),(60/C5))/(C8*C7))),(C4*C7*(1-EXP(-(60/C5*C9)/(C8*C7))))*EXP(-(MOD((55/80*(60/C5)),(60/C5))-(60/C5*C9))/(C8*C7))))*1000</f>
        <v/>
      </c>
      <c r="F83" s="27">
        <f>IF(AND(MOD((55/80*(60/C5)),(60/C5))&lt;(60/C5*C9),MOD((55/80*(60/C5)),(60/C5))&lt;C12),-ABS(C11)*SIN(PI()*MOD((55/80*(60/C5)),(60/C5))/C12),0)</f>
        <v/>
      </c>
      <c r="G83" s="27">
        <f>C6*(C10/(C7+C10))+(E83/1000)/C10+F83</f>
        <v/>
      </c>
      <c r="H83" s="27">
        <f>C83-G83</f>
        <v/>
      </c>
      <c r="I83" s="27">
        <f>C6+(E83/1000)/C7</f>
        <v/>
      </c>
    </row>
    <row r="84" ht="12.95" customHeight="1" s="44">
      <c r="B84" s="25">
        <f>(56/80*(60/C5))</f>
        <v/>
      </c>
      <c r="C84" s="25">
        <f>IF(MOD((56/80*(60/C5)),(60/C5))&lt;(60/C5*C9),C6+C4,C6)</f>
        <v/>
      </c>
      <c r="D84" s="25">
        <f>IF(MOD((56/80*(60/C5)),(60/C5))&lt;(60/C5*C9),(C4/C8)*EXP(-MOD((56/80*(60/C5)),(60/C5))/(C8*C7))*60,-((C4*C7*(1-EXP(-(60/C5*C9)/(C8*C7))))/(C8*C7))*EXP(-(MOD((56/80*(60/C5)),(60/C5))-(60/C5*C9))/(C8*C7))*60)</f>
        <v/>
      </c>
      <c r="E84" s="26">
        <f>(IF(MOD((56/80*(60/C5)),(60/C5))&lt;(60/C5*C9),C4*C7*(1-EXP(-MOD((56/80*(60/C5)),(60/C5))/(C8*C7))),(C4*C7*(1-EXP(-(60/C5*C9)/(C8*C7))))*EXP(-(MOD((56/80*(60/C5)),(60/C5))-(60/C5*C9))/(C8*C7))))*1000</f>
        <v/>
      </c>
      <c r="F84" s="25">
        <f>IF(AND(MOD((56/80*(60/C5)),(60/C5))&lt;(60/C5*C9),MOD((56/80*(60/C5)),(60/C5))&lt;C12),-ABS(C11)*SIN(PI()*MOD((56/80*(60/C5)),(60/C5))/C12),0)</f>
        <v/>
      </c>
      <c r="G84" s="25">
        <f>C6*(C10/(C7+C10))+(E84/1000)/C10+F84</f>
        <v/>
      </c>
      <c r="H84" s="25">
        <f>C84-G84</f>
        <v/>
      </c>
      <c r="I84" s="25">
        <f>C6+(E84/1000)/C7</f>
        <v/>
      </c>
    </row>
    <row r="85" ht="12.95" customHeight="1" s="44">
      <c r="B85" s="27">
        <f>(57/80*(60/C5))</f>
        <v/>
      </c>
      <c r="C85" s="27">
        <f>IF(MOD((57/80*(60/C5)),(60/C5))&lt;(60/C5*C9),C6+C4,C6)</f>
        <v/>
      </c>
      <c r="D85" s="27">
        <f>IF(MOD((57/80*(60/C5)),(60/C5))&lt;(60/C5*C9),(C4/C8)*EXP(-MOD((57/80*(60/C5)),(60/C5))/(C8*C7))*60,-((C4*C7*(1-EXP(-(60/C5*C9)/(C8*C7))))/(C8*C7))*EXP(-(MOD((57/80*(60/C5)),(60/C5))-(60/C5*C9))/(C8*C7))*60)</f>
        <v/>
      </c>
      <c r="E85" s="28">
        <f>(IF(MOD((57/80*(60/C5)),(60/C5))&lt;(60/C5*C9),C4*C7*(1-EXP(-MOD((57/80*(60/C5)),(60/C5))/(C8*C7))),(C4*C7*(1-EXP(-(60/C5*C9)/(C8*C7))))*EXP(-(MOD((57/80*(60/C5)),(60/C5))-(60/C5*C9))/(C8*C7))))*1000</f>
        <v/>
      </c>
      <c r="F85" s="27">
        <f>IF(AND(MOD((57/80*(60/C5)),(60/C5))&lt;(60/C5*C9),MOD((57/80*(60/C5)),(60/C5))&lt;C12),-ABS(C11)*SIN(PI()*MOD((57/80*(60/C5)),(60/C5))/C12),0)</f>
        <v/>
      </c>
      <c r="G85" s="27">
        <f>C6*(C10/(C7+C10))+(E85/1000)/C10+F85</f>
        <v/>
      </c>
      <c r="H85" s="27">
        <f>C85-G85</f>
        <v/>
      </c>
      <c r="I85" s="27">
        <f>C6+(E85/1000)/C7</f>
        <v/>
      </c>
    </row>
    <row r="86" ht="12.95" customHeight="1" s="44">
      <c r="B86" s="25">
        <f>(58/80*(60/C5))</f>
        <v/>
      </c>
      <c r="C86" s="25">
        <f>IF(MOD((58/80*(60/C5)),(60/C5))&lt;(60/C5*C9),C6+C4,C6)</f>
        <v/>
      </c>
      <c r="D86" s="25">
        <f>IF(MOD((58/80*(60/C5)),(60/C5))&lt;(60/C5*C9),(C4/C8)*EXP(-MOD((58/80*(60/C5)),(60/C5))/(C8*C7))*60,-((C4*C7*(1-EXP(-(60/C5*C9)/(C8*C7))))/(C8*C7))*EXP(-(MOD((58/80*(60/C5)),(60/C5))-(60/C5*C9))/(C8*C7))*60)</f>
        <v/>
      </c>
      <c r="E86" s="26">
        <f>(IF(MOD((58/80*(60/C5)),(60/C5))&lt;(60/C5*C9),C4*C7*(1-EXP(-MOD((58/80*(60/C5)),(60/C5))/(C8*C7))),(C4*C7*(1-EXP(-(60/C5*C9)/(C8*C7))))*EXP(-(MOD((58/80*(60/C5)),(60/C5))-(60/C5*C9))/(C8*C7))))*1000</f>
        <v/>
      </c>
      <c r="F86" s="25">
        <f>IF(AND(MOD((58/80*(60/C5)),(60/C5))&lt;(60/C5*C9),MOD((58/80*(60/C5)),(60/C5))&lt;C12),-ABS(C11)*SIN(PI()*MOD((58/80*(60/C5)),(60/C5))/C12),0)</f>
        <v/>
      </c>
      <c r="G86" s="25">
        <f>C6*(C10/(C7+C10))+(E86/1000)/C10+F86</f>
        <v/>
      </c>
      <c r="H86" s="25">
        <f>C86-G86</f>
        <v/>
      </c>
      <c r="I86" s="25">
        <f>C6+(E86/1000)/C7</f>
        <v/>
      </c>
    </row>
    <row r="87" ht="12.95" customHeight="1" s="44">
      <c r="B87" s="27">
        <f>(59/80*(60/C5))</f>
        <v/>
      </c>
      <c r="C87" s="27">
        <f>IF(MOD((59/80*(60/C5)),(60/C5))&lt;(60/C5*C9),C6+C4,C6)</f>
        <v/>
      </c>
      <c r="D87" s="27">
        <f>IF(MOD((59/80*(60/C5)),(60/C5))&lt;(60/C5*C9),(C4/C8)*EXP(-MOD((59/80*(60/C5)),(60/C5))/(C8*C7))*60,-((C4*C7*(1-EXP(-(60/C5*C9)/(C8*C7))))/(C8*C7))*EXP(-(MOD((59/80*(60/C5)),(60/C5))-(60/C5*C9))/(C8*C7))*60)</f>
        <v/>
      </c>
      <c r="E87" s="28">
        <f>(IF(MOD((59/80*(60/C5)),(60/C5))&lt;(60/C5*C9),C4*C7*(1-EXP(-MOD((59/80*(60/C5)),(60/C5))/(C8*C7))),(C4*C7*(1-EXP(-(60/C5*C9)/(C8*C7))))*EXP(-(MOD((59/80*(60/C5)),(60/C5))-(60/C5*C9))/(C8*C7))))*1000</f>
        <v/>
      </c>
      <c r="F87" s="27">
        <f>IF(AND(MOD((59/80*(60/C5)),(60/C5))&lt;(60/C5*C9),MOD((59/80*(60/C5)),(60/C5))&lt;C12),-ABS(C11)*SIN(PI()*MOD((59/80*(60/C5)),(60/C5))/C12),0)</f>
        <v/>
      </c>
      <c r="G87" s="27">
        <f>C6*(C10/(C7+C10))+(E87/1000)/C10+F87</f>
        <v/>
      </c>
      <c r="H87" s="27">
        <f>C87-G87</f>
        <v/>
      </c>
      <c r="I87" s="27">
        <f>C6+(E87/1000)/C7</f>
        <v/>
      </c>
    </row>
    <row r="88" ht="12.95" customHeight="1" s="44">
      <c r="B88" s="25">
        <f>(60/80*(60/C5))</f>
        <v/>
      </c>
      <c r="C88" s="25">
        <f>IF(MOD((60/80*(60/C5)),(60/C5))&lt;(60/C5*C9),C6+C4,C6)</f>
        <v/>
      </c>
      <c r="D88" s="25">
        <f>IF(MOD((60/80*(60/C5)),(60/C5))&lt;(60/C5*C9),(C4/C8)*EXP(-MOD((60/80*(60/C5)),(60/C5))/(C8*C7))*60,-((C4*C7*(1-EXP(-(60/C5*C9)/(C8*C7))))/(C8*C7))*EXP(-(MOD((60/80*(60/C5)),(60/C5))-(60/C5*C9))/(C8*C7))*60)</f>
        <v/>
      </c>
      <c r="E88" s="26">
        <f>(IF(MOD((60/80*(60/C5)),(60/C5))&lt;(60/C5*C9),C4*C7*(1-EXP(-MOD((60/80*(60/C5)),(60/C5))/(C8*C7))),(C4*C7*(1-EXP(-(60/C5*C9)/(C8*C7))))*EXP(-(MOD((60/80*(60/C5)),(60/C5))-(60/C5*C9))/(C8*C7))))*1000</f>
        <v/>
      </c>
      <c r="F88" s="25">
        <f>IF(AND(MOD((60/80*(60/C5)),(60/C5))&lt;(60/C5*C9),MOD((60/80*(60/C5)),(60/C5))&lt;C12),-ABS(C11)*SIN(PI()*MOD((60/80*(60/C5)),(60/C5))/C12),0)</f>
        <v/>
      </c>
      <c r="G88" s="25">
        <f>C6*(C10/(C7+C10))+(E88/1000)/C10+F88</f>
        <v/>
      </c>
      <c r="H88" s="25">
        <f>C88-G88</f>
        <v/>
      </c>
      <c r="I88" s="25">
        <f>C6+(E88/1000)/C7</f>
        <v/>
      </c>
    </row>
    <row r="89" ht="12.95" customHeight="1" s="44">
      <c r="B89" s="27">
        <f>(61/80*(60/C5))</f>
        <v/>
      </c>
      <c r="C89" s="27">
        <f>IF(MOD((61/80*(60/C5)),(60/C5))&lt;(60/C5*C9),C6+C4,C6)</f>
        <v/>
      </c>
      <c r="D89" s="27">
        <f>IF(MOD((61/80*(60/C5)),(60/C5))&lt;(60/C5*C9),(C4/C8)*EXP(-MOD((61/80*(60/C5)),(60/C5))/(C8*C7))*60,-((C4*C7*(1-EXP(-(60/C5*C9)/(C8*C7))))/(C8*C7))*EXP(-(MOD((61/80*(60/C5)),(60/C5))-(60/C5*C9))/(C8*C7))*60)</f>
        <v/>
      </c>
      <c r="E89" s="28">
        <f>(IF(MOD((61/80*(60/C5)),(60/C5))&lt;(60/C5*C9),C4*C7*(1-EXP(-MOD((61/80*(60/C5)),(60/C5))/(C8*C7))),(C4*C7*(1-EXP(-(60/C5*C9)/(C8*C7))))*EXP(-(MOD((61/80*(60/C5)),(60/C5))-(60/C5*C9))/(C8*C7))))*1000</f>
        <v/>
      </c>
      <c r="F89" s="27">
        <f>IF(AND(MOD((61/80*(60/C5)),(60/C5))&lt;(60/C5*C9),MOD((61/80*(60/C5)),(60/C5))&lt;C12),-ABS(C11)*SIN(PI()*MOD((61/80*(60/C5)),(60/C5))/C12),0)</f>
        <v/>
      </c>
      <c r="G89" s="27">
        <f>C6*(C10/(C7+C10))+(E89/1000)/C10+F89</f>
        <v/>
      </c>
      <c r="H89" s="27">
        <f>C89-G89</f>
        <v/>
      </c>
      <c r="I89" s="27">
        <f>C6+(E89/1000)/C7</f>
        <v/>
      </c>
    </row>
    <row r="90" ht="12.95" customHeight="1" s="44">
      <c r="B90" s="25">
        <f>(62/80*(60/C5))</f>
        <v/>
      </c>
      <c r="C90" s="25">
        <f>IF(MOD((62/80*(60/C5)),(60/C5))&lt;(60/C5*C9),C6+C4,C6)</f>
        <v/>
      </c>
      <c r="D90" s="25">
        <f>IF(MOD((62/80*(60/C5)),(60/C5))&lt;(60/C5*C9),(C4/C8)*EXP(-MOD((62/80*(60/C5)),(60/C5))/(C8*C7))*60,-((C4*C7*(1-EXP(-(60/C5*C9)/(C8*C7))))/(C8*C7))*EXP(-(MOD((62/80*(60/C5)),(60/C5))-(60/C5*C9))/(C8*C7))*60)</f>
        <v/>
      </c>
      <c r="E90" s="26">
        <f>(IF(MOD((62/80*(60/C5)),(60/C5))&lt;(60/C5*C9),C4*C7*(1-EXP(-MOD((62/80*(60/C5)),(60/C5))/(C8*C7))),(C4*C7*(1-EXP(-(60/C5*C9)/(C8*C7))))*EXP(-(MOD((62/80*(60/C5)),(60/C5))-(60/C5*C9))/(C8*C7))))*1000</f>
        <v/>
      </c>
      <c r="F90" s="25">
        <f>IF(AND(MOD((62/80*(60/C5)),(60/C5))&lt;(60/C5*C9),MOD((62/80*(60/C5)),(60/C5))&lt;C12),-ABS(C11)*SIN(PI()*MOD((62/80*(60/C5)),(60/C5))/C12),0)</f>
        <v/>
      </c>
      <c r="G90" s="25">
        <f>C6*(C10/(C7+C10))+(E90/1000)/C10+F90</f>
        <v/>
      </c>
      <c r="H90" s="25">
        <f>C90-G90</f>
        <v/>
      </c>
      <c r="I90" s="25">
        <f>C6+(E90/1000)/C7</f>
        <v/>
      </c>
    </row>
    <row r="91" ht="12.95" customHeight="1" s="44">
      <c r="B91" s="27">
        <f>(63/80*(60/C5))</f>
        <v/>
      </c>
      <c r="C91" s="27">
        <f>IF(MOD((63/80*(60/C5)),(60/C5))&lt;(60/C5*C9),C6+C4,C6)</f>
        <v/>
      </c>
      <c r="D91" s="27">
        <f>IF(MOD((63/80*(60/C5)),(60/C5))&lt;(60/C5*C9),(C4/C8)*EXP(-MOD((63/80*(60/C5)),(60/C5))/(C8*C7))*60,-((C4*C7*(1-EXP(-(60/C5*C9)/(C8*C7))))/(C8*C7))*EXP(-(MOD((63/80*(60/C5)),(60/C5))-(60/C5*C9))/(C8*C7))*60)</f>
        <v/>
      </c>
      <c r="E91" s="28">
        <f>(IF(MOD((63/80*(60/C5)),(60/C5))&lt;(60/C5*C9),C4*C7*(1-EXP(-MOD((63/80*(60/C5)),(60/C5))/(C8*C7))),(C4*C7*(1-EXP(-(60/C5*C9)/(C8*C7))))*EXP(-(MOD((63/80*(60/C5)),(60/C5))-(60/C5*C9))/(C8*C7))))*1000</f>
        <v/>
      </c>
      <c r="F91" s="27">
        <f>IF(AND(MOD((63/80*(60/C5)),(60/C5))&lt;(60/C5*C9),MOD((63/80*(60/C5)),(60/C5))&lt;C12),-ABS(C11)*SIN(PI()*MOD((63/80*(60/C5)),(60/C5))/C12),0)</f>
        <v/>
      </c>
      <c r="G91" s="27">
        <f>C6*(C10/(C7+C10))+(E91/1000)/C10+F91</f>
        <v/>
      </c>
      <c r="H91" s="27">
        <f>C91-G91</f>
        <v/>
      </c>
      <c r="I91" s="27">
        <f>C6+(E91/1000)/C7</f>
        <v/>
      </c>
    </row>
    <row r="92" ht="12.95" customHeight="1" s="44">
      <c r="B92" s="25">
        <f>(64/80*(60/C5))</f>
        <v/>
      </c>
      <c r="C92" s="25">
        <f>IF(MOD((64/80*(60/C5)),(60/C5))&lt;(60/C5*C9),C6+C4,C6)</f>
        <v/>
      </c>
      <c r="D92" s="25">
        <f>IF(MOD((64/80*(60/C5)),(60/C5))&lt;(60/C5*C9),(C4/C8)*EXP(-MOD((64/80*(60/C5)),(60/C5))/(C8*C7))*60,-((C4*C7*(1-EXP(-(60/C5*C9)/(C8*C7))))/(C8*C7))*EXP(-(MOD((64/80*(60/C5)),(60/C5))-(60/C5*C9))/(C8*C7))*60)</f>
        <v/>
      </c>
      <c r="E92" s="26">
        <f>(IF(MOD((64/80*(60/C5)),(60/C5))&lt;(60/C5*C9),C4*C7*(1-EXP(-MOD((64/80*(60/C5)),(60/C5))/(C8*C7))),(C4*C7*(1-EXP(-(60/C5*C9)/(C8*C7))))*EXP(-(MOD((64/80*(60/C5)),(60/C5))-(60/C5*C9))/(C8*C7))))*1000</f>
        <v/>
      </c>
      <c r="F92" s="25">
        <f>IF(AND(MOD((64/80*(60/C5)),(60/C5))&lt;(60/C5*C9),MOD((64/80*(60/C5)),(60/C5))&lt;C12),-ABS(C11)*SIN(PI()*MOD((64/80*(60/C5)),(60/C5))/C12),0)</f>
        <v/>
      </c>
      <c r="G92" s="25">
        <f>C6*(C10/(C7+C10))+(E92/1000)/C10+F92</f>
        <v/>
      </c>
      <c r="H92" s="25">
        <f>C92-G92</f>
        <v/>
      </c>
      <c r="I92" s="25">
        <f>C6+(E92/1000)/C7</f>
        <v/>
      </c>
    </row>
    <row r="93" ht="12.95" customHeight="1" s="44">
      <c r="B93" s="27">
        <f>(65/80*(60/C5))</f>
        <v/>
      </c>
      <c r="C93" s="27">
        <f>IF(MOD((65/80*(60/C5)),(60/C5))&lt;(60/C5*C9),C6+C4,C6)</f>
        <v/>
      </c>
      <c r="D93" s="27">
        <f>IF(MOD((65/80*(60/C5)),(60/C5))&lt;(60/C5*C9),(C4/C8)*EXP(-MOD((65/80*(60/C5)),(60/C5))/(C8*C7))*60,-((C4*C7*(1-EXP(-(60/C5*C9)/(C8*C7))))/(C8*C7))*EXP(-(MOD((65/80*(60/C5)),(60/C5))-(60/C5*C9))/(C8*C7))*60)</f>
        <v/>
      </c>
      <c r="E93" s="28">
        <f>(IF(MOD((65/80*(60/C5)),(60/C5))&lt;(60/C5*C9),C4*C7*(1-EXP(-MOD((65/80*(60/C5)),(60/C5))/(C8*C7))),(C4*C7*(1-EXP(-(60/C5*C9)/(C8*C7))))*EXP(-(MOD((65/80*(60/C5)),(60/C5))-(60/C5*C9))/(C8*C7))))*1000</f>
        <v/>
      </c>
      <c r="F93" s="27">
        <f>IF(AND(MOD((65/80*(60/C5)),(60/C5))&lt;(60/C5*C9),MOD((65/80*(60/C5)),(60/C5))&lt;C12),-ABS(C11)*SIN(PI()*MOD((65/80*(60/C5)),(60/C5))/C12),0)</f>
        <v/>
      </c>
      <c r="G93" s="27">
        <f>C6*(C10/(C7+C10))+(E93/1000)/C10+F93</f>
        <v/>
      </c>
      <c r="H93" s="27">
        <f>C93-G93</f>
        <v/>
      </c>
      <c r="I93" s="27">
        <f>C6+(E93/1000)/C7</f>
        <v/>
      </c>
    </row>
    <row r="94" ht="12.95" customHeight="1" s="44">
      <c r="B94" s="25">
        <f>(66/80*(60/C5))</f>
        <v/>
      </c>
      <c r="C94" s="25">
        <f>IF(MOD((66/80*(60/C5)),(60/C5))&lt;(60/C5*C9),C6+C4,C6)</f>
        <v/>
      </c>
      <c r="D94" s="25">
        <f>IF(MOD((66/80*(60/C5)),(60/C5))&lt;(60/C5*C9),(C4/C8)*EXP(-MOD((66/80*(60/C5)),(60/C5))/(C8*C7))*60,-((C4*C7*(1-EXP(-(60/C5*C9)/(C8*C7))))/(C8*C7))*EXP(-(MOD((66/80*(60/C5)),(60/C5))-(60/C5*C9))/(C8*C7))*60)</f>
        <v/>
      </c>
      <c r="E94" s="26">
        <f>(IF(MOD((66/80*(60/C5)),(60/C5))&lt;(60/C5*C9),C4*C7*(1-EXP(-MOD((66/80*(60/C5)),(60/C5))/(C8*C7))),(C4*C7*(1-EXP(-(60/C5*C9)/(C8*C7))))*EXP(-(MOD((66/80*(60/C5)),(60/C5))-(60/C5*C9))/(C8*C7))))*1000</f>
        <v/>
      </c>
      <c r="F94" s="25">
        <f>IF(AND(MOD((66/80*(60/C5)),(60/C5))&lt;(60/C5*C9),MOD((66/80*(60/C5)),(60/C5))&lt;C12),-ABS(C11)*SIN(PI()*MOD((66/80*(60/C5)),(60/C5))/C12),0)</f>
        <v/>
      </c>
      <c r="G94" s="25">
        <f>C6*(C10/(C7+C10))+(E94/1000)/C10+F94</f>
        <v/>
      </c>
      <c r="H94" s="25">
        <f>C94-G94</f>
        <v/>
      </c>
      <c r="I94" s="25">
        <f>C6+(E94/1000)/C7</f>
        <v/>
      </c>
    </row>
    <row r="95" ht="12.95" customHeight="1" s="44">
      <c r="B95" s="27">
        <f>(67/80*(60/C5))</f>
        <v/>
      </c>
      <c r="C95" s="27">
        <f>IF(MOD((67/80*(60/C5)),(60/C5))&lt;(60/C5*C9),C6+C4,C6)</f>
        <v/>
      </c>
      <c r="D95" s="27">
        <f>IF(MOD((67/80*(60/C5)),(60/C5))&lt;(60/C5*C9),(C4/C8)*EXP(-MOD((67/80*(60/C5)),(60/C5))/(C8*C7))*60,-((C4*C7*(1-EXP(-(60/C5*C9)/(C8*C7))))/(C8*C7))*EXP(-(MOD((67/80*(60/C5)),(60/C5))-(60/C5*C9))/(C8*C7))*60)</f>
        <v/>
      </c>
      <c r="E95" s="28">
        <f>(IF(MOD((67/80*(60/C5)),(60/C5))&lt;(60/C5*C9),C4*C7*(1-EXP(-MOD((67/80*(60/C5)),(60/C5))/(C8*C7))),(C4*C7*(1-EXP(-(60/C5*C9)/(C8*C7))))*EXP(-(MOD((67/80*(60/C5)),(60/C5))-(60/C5*C9))/(C8*C7))))*1000</f>
        <v/>
      </c>
      <c r="F95" s="27">
        <f>IF(AND(MOD((67/80*(60/C5)),(60/C5))&lt;(60/C5*C9),MOD((67/80*(60/C5)),(60/C5))&lt;C12),-ABS(C11)*SIN(PI()*MOD((67/80*(60/C5)),(60/C5))/C12),0)</f>
        <v/>
      </c>
      <c r="G95" s="27">
        <f>C6*(C10/(C7+C10))+(E95/1000)/C10+F95</f>
        <v/>
      </c>
      <c r="H95" s="27">
        <f>C95-G95</f>
        <v/>
      </c>
      <c r="I95" s="27">
        <f>C6+(E95/1000)/C7</f>
        <v/>
      </c>
    </row>
    <row r="96" ht="12.95" customHeight="1" s="44">
      <c r="B96" s="25">
        <f>(68/80*(60/C5))</f>
        <v/>
      </c>
      <c r="C96" s="25">
        <f>IF(MOD((68/80*(60/C5)),(60/C5))&lt;(60/C5*C9),C6+C4,C6)</f>
        <v/>
      </c>
      <c r="D96" s="25">
        <f>IF(MOD((68/80*(60/C5)),(60/C5))&lt;(60/C5*C9),(C4/C8)*EXP(-MOD((68/80*(60/C5)),(60/C5))/(C8*C7))*60,-((C4*C7*(1-EXP(-(60/C5*C9)/(C8*C7))))/(C8*C7))*EXP(-(MOD((68/80*(60/C5)),(60/C5))-(60/C5*C9))/(C8*C7))*60)</f>
        <v/>
      </c>
      <c r="E96" s="26">
        <f>(IF(MOD((68/80*(60/C5)),(60/C5))&lt;(60/C5*C9),C4*C7*(1-EXP(-MOD((68/80*(60/C5)),(60/C5))/(C8*C7))),(C4*C7*(1-EXP(-(60/C5*C9)/(C8*C7))))*EXP(-(MOD((68/80*(60/C5)),(60/C5))-(60/C5*C9))/(C8*C7))))*1000</f>
        <v/>
      </c>
      <c r="F96" s="25">
        <f>IF(AND(MOD((68/80*(60/C5)),(60/C5))&lt;(60/C5*C9),MOD((68/80*(60/C5)),(60/C5))&lt;C12),-ABS(C11)*SIN(PI()*MOD((68/80*(60/C5)),(60/C5))/C12),0)</f>
        <v/>
      </c>
      <c r="G96" s="25">
        <f>C6*(C10/(C7+C10))+(E96/1000)/C10+F96</f>
        <v/>
      </c>
      <c r="H96" s="25">
        <f>C96-G96</f>
        <v/>
      </c>
      <c r="I96" s="25">
        <f>C6+(E96/1000)/C7</f>
        <v/>
      </c>
    </row>
    <row r="97" ht="12.95" customHeight="1" s="44">
      <c r="B97" s="27">
        <f>(69/80*(60/C5))</f>
        <v/>
      </c>
      <c r="C97" s="27">
        <f>IF(MOD((69/80*(60/C5)),(60/C5))&lt;(60/C5*C9),C6+C4,C6)</f>
        <v/>
      </c>
      <c r="D97" s="27">
        <f>IF(MOD((69/80*(60/C5)),(60/C5))&lt;(60/C5*C9),(C4/C8)*EXP(-MOD((69/80*(60/C5)),(60/C5))/(C8*C7))*60,-((C4*C7*(1-EXP(-(60/C5*C9)/(C8*C7))))/(C8*C7))*EXP(-(MOD((69/80*(60/C5)),(60/C5))-(60/C5*C9))/(C8*C7))*60)</f>
        <v/>
      </c>
      <c r="E97" s="28">
        <f>(IF(MOD((69/80*(60/C5)),(60/C5))&lt;(60/C5*C9),C4*C7*(1-EXP(-MOD((69/80*(60/C5)),(60/C5))/(C8*C7))),(C4*C7*(1-EXP(-(60/C5*C9)/(C8*C7))))*EXP(-(MOD((69/80*(60/C5)),(60/C5))-(60/C5*C9))/(C8*C7))))*1000</f>
        <v/>
      </c>
      <c r="F97" s="27">
        <f>IF(AND(MOD((69/80*(60/C5)),(60/C5))&lt;(60/C5*C9),MOD((69/80*(60/C5)),(60/C5))&lt;C12),-ABS(C11)*SIN(PI()*MOD((69/80*(60/C5)),(60/C5))/C12),0)</f>
        <v/>
      </c>
      <c r="G97" s="27">
        <f>C6*(C10/(C7+C10))+(E97/1000)/C10+F97</f>
        <v/>
      </c>
      <c r="H97" s="27">
        <f>C97-G97</f>
        <v/>
      </c>
      <c r="I97" s="27">
        <f>C6+(E97/1000)/C7</f>
        <v/>
      </c>
    </row>
    <row r="98" ht="12.95" customHeight="1" s="44">
      <c r="B98" s="25">
        <f>(70/80*(60/C5))</f>
        <v/>
      </c>
      <c r="C98" s="25">
        <f>IF(MOD((70/80*(60/C5)),(60/C5))&lt;(60/C5*C9),C6+C4,C6)</f>
        <v/>
      </c>
      <c r="D98" s="25">
        <f>IF(MOD((70/80*(60/C5)),(60/C5))&lt;(60/C5*C9),(C4/C8)*EXP(-MOD((70/80*(60/C5)),(60/C5))/(C8*C7))*60,-((C4*C7*(1-EXP(-(60/C5*C9)/(C8*C7))))/(C8*C7))*EXP(-(MOD((70/80*(60/C5)),(60/C5))-(60/C5*C9))/(C8*C7))*60)</f>
        <v/>
      </c>
      <c r="E98" s="26">
        <f>(IF(MOD((70/80*(60/C5)),(60/C5))&lt;(60/C5*C9),C4*C7*(1-EXP(-MOD((70/80*(60/C5)),(60/C5))/(C8*C7))),(C4*C7*(1-EXP(-(60/C5*C9)/(C8*C7))))*EXP(-(MOD((70/80*(60/C5)),(60/C5))-(60/C5*C9))/(C8*C7))))*1000</f>
        <v/>
      </c>
      <c r="F98" s="25">
        <f>IF(AND(MOD((70/80*(60/C5)),(60/C5))&lt;(60/C5*C9),MOD((70/80*(60/C5)),(60/C5))&lt;C12),-ABS(C11)*SIN(PI()*MOD((70/80*(60/C5)),(60/C5))/C12),0)</f>
        <v/>
      </c>
      <c r="G98" s="25">
        <f>C6*(C10/(C7+C10))+(E98/1000)/C10+F98</f>
        <v/>
      </c>
      <c r="H98" s="25">
        <f>C98-G98</f>
        <v/>
      </c>
      <c r="I98" s="25">
        <f>C6+(E98/1000)/C7</f>
        <v/>
      </c>
    </row>
    <row r="99" ht="12.95" customHeight="1" s="44">
      <c r="B99" s="27">
        <f>(71/80*(60/C5))</f>
        <v/>
      </c>
      <c r="C99" s="27">
        <f>IF(MOD((71/80*(60/C5)),(60/C5))&lt;(60/C5*C9),C6+C4,C6)</f>
        <v/>
      </c>
      <c r="D99" s="27">
        <f>IF(MOD((71/80*(60/C5)),(60/C5))&lt;(60/C5*C9),(C4/C8)*EXP(-MOD((71/80*(60/C5)),(60/C5))/(C8*C7))*60,-((C4*C7*(1-EXP(-(60/C5*C9)/(C8*C7))))/(C8*C7))*EXP(-(MOD((71/80*(60/C5)),(60/C5))-(60/C5*C9))/(C8*C7))*60)</f>
        <v/>
      </c>
      <c r="E99" s="28">
        <f>(IF(MOD((71/80*(60/C5)),(60/C5))&lt;(60/C5*C9),C4*C7*(1-EXP(-MOD((71/80*(60/C5)),(60/C5))/(C8*C7))),(C4*C7*(1-EXP(-(60/C5*C9)/(C8*C7))))*EXP(-(MOD((71/80*(60/C5)),(60/C5))-(60/C5*C9))/(C8*C7))))*1000</f>
        <v/>
      </c>
      <c r="F99" s="27">
        <f>IF(AND(MOD((71/80*(60/C5)),(60/C5))&lt;(60/C5*C9),MOD((71/80*(60/C5)),(60/C5))&lt;C12),-ABS(C11)*SIN(PI()*MOD((71/80*(60/C5)),(60/C5))/C12),0)</f>
        <v/>
      </c>
      <c r="G99" s="27">
        <f>C6*(C10/(C7+C10))+(E99/1000)/C10+F99</f>
        <v/>
      </c>
      <c r="H99" s="27">
        <f>C99-G99</f>
        <v/>
      </c>
      <c r="I99" s="27">
        <f>C6+(E99/1000)/C7</f>
        <v/>
      </c>
    </row>
    <row r="100" ht="12.95" customHeight="1" s="44">
      <c r="B100" s="25">
        <f>(72/80*(60/C5))</f>
        <v/>
      </c>
      <c r="C100" s="25">
        <f>IF(MOD((72/80*(60/C5)),(60/C5))&lt;(60/C5*C9),C6+C4,C6)</f>
        <v/>
      </c>
      <c r="D100" s="25">
        <f>IF(MOD((72/80*(60/C5)),(60/C5))&lt;(60/C5*C9),(C4/C8)*EXP(-MOD((72/80*(60/C5)),(60/C5))/(C8*C7))*60,-((C4*C7*(1-EXP(-(60/C5*C9)/(C8*C7))))/(C8*C7))*EXP(-(MOD((72/80*(60/C5)),(60/C5))-(60/C5*C9))/(C8*C7))*60)</f>
        <v/>
      </c>
      <c r="E100" s="26">
        <f>(IF(MOD((72/80*(60/C5)),(60/C5))&lt;(60/C5*C9),C4*C7*(1-EXP(-MOD((72/80*(60/C5)),(60/C5))/(C8*C7))),(C4*C7*(1-EXP(-(60/C5*C9)/(C8*C7))))*EXP(-(MOD((72/80*(60/C5)),(60/C5))-(60/C5*C9))/(C8*C7))))*1000</f>
        <v/>
      </c>
      <c r="F100" s="25">
        <f>IF(AND(MOD((72/80*(60/C5)),(60/C5))&lt;(60/C5*C9),MOD((72/80*(60/C5)),(60/C5))&lt;C12),-ABS(C11)*SIN(PI()*MOD((72/80*(60/C5)),(60/C5))/C12),0)</f>
        <v/>
      </c>
      <c r="G100" s="25">
        <f>C6*(C10/(C7+C10))+(E100/1000)/C10+F100</f>
        <v/>
      </c>
      <c r="H100" s="25">
        <f>C100-G100</f>
        <v/>
      </c>
      <c r="I100" s="25">
        <f>C6+(E100/1000)/C7</f>
        <v/>
      </c>
    </row>
    <row r="101" ht="12.95" customHeight="1" s="44">
      <c r="B101" s="27">
        <f>(73/80*(60/C5))</f>
        <v/>
      </c>
      <c r="C101" s="27">
        <f>IF(MOD((73/80*(60/C5)),(60/C5))&lt;(60/C5*C9),C6+C4,C6)</f>
        <v/>
      </c>
      <c r="D101" s="27">
        <f>IF(MOD((73/80*(60/C5)),(60/C5))&lt;(60/C5*C9),(C4/C8)*EXP(-MOD((73/80*(60/C5)),(60/C5))/(C8*C7))*60,-((C4*C7*(1-EXP(-(60/C5*C9)/(C8*C7))))/(C8*C7))*EXP(-(MOD((73/80*(60/C5)),(60/C5))-(60/C5*C9))/(C8*C7))*60)</f>
        <v/>
      </c>
      <c r="E101" s="28">
        <f>(IF(MOD((73/80*(60/C5)),(60/C5))&lt;(60/C5*C9),C4*C7*(1-EXP(-MOD((73/80*(60/C5)),(60/C5))/(C8*C7))),(C4*C7*(1-EXP(-(60/C5*C9)/(C8*C7))))*EXP(-(MOD((73/80*(60/C5)),(60/C5))-(60/C5*C9))/(C8*C7))))*1000</f>
        <v/>
      </c>
      <c r="F101" s="27">
        <f>IF(AND(MOD((73/80*(60/C5)),(60/C5))&lt;(60/C5*C9),MOD((73/80*(60/C5)),(60/C5))&lt;C12),-ABS(C11)*SIN(PI()*MOD((73/80*(60/C5)),(60/C5))/C12),0)</f>
        <v/>
      </c>
      <c r="G101" s="27">
        <f>C6*(C10/(C7+C10))+(E101/1000)/C10+F101</f>
        <v/>
      </c>
      <c r="H101" s="27">
        <f>C101-G101</f>
        <v/>
      </c>
      <c r="I101" s="27">
        <f>C6+(E101/1000)/C7</f>
        <v/>
      </c>
    </row>
    <row r="102" ht="12.95" customHeight="1" s="44">
      <c r="B102" s="25">
        <f>(74/80*(60/C5))</f>
        <v/>
      </c>
      <c r="C102" s="25">
        <f>IF(MOD((74/80*(60/C5)),(60/C5))&lt;(60/C5*C9),C6+C4,C6)</f>
        <v/>
      </c>
      <c r="D102" s="25">
        <f>IF(MOD((74/80*(60/C5)),(60/C5))&lt;(60/C5*C9),(C4/C8)*EXP(-MOD((74/80*(60/C5)),(60/C5))/(C8*C7))*60,-((C4*C7*(1-EXP(-(60/C5*C9)/(C8*C7))))/(C8*C7))*EXP(-(MOD((74/80*(60/C5)),(60/C5))-(60/C5*C9))/(C8*C7))*60)</f>
        <v/>
      </c>
      <c r="E102" s="26">
        <f>(IF(MOD((74/80*(60/C5)),(60/C5))&lt;(60/C5*C9),C4*C7*(1-EXP(-MOD((74/80*(60/C5)),(60/C5))/(C8*C7))),(C4*C7*(1-EXP(-(60/C5*C9)/(C8*C7))))*EXP(-(MOD((74/80*(60/C5)),(60/C5))-(60/C5*C9))/(C8*C7))))*1000</f>
        <v/>
      </c>
      <c r="F102" s="25">
        <f>IF(AND(MOD((74/80*(60/C5)),(60/C5))&lt;(60/C5*C9),MOD((74/80*(60/C5)),(60/C5))&lt;C12),-ABS(C11)*SIN(PI()*MOD((74/80*(60/C5)),(60/C5))/C12),0)</f>
        <v/>
      </c>
      <c r="G102" s="25">
        <f>C6*(C10/(C7+C10))+(E102/1000)/C10+F102</f>
        <v/>
      </c>
      <c r="H102" s="25">
        <f>C102-G102</f>
        <v/>
      </c>
      <c r="I102" s="25">
        <f>C6+(E102/1000)/C7</f>
        <v/>
      </c>
    </row>
    <row r="103" ht="12.95" customHeight="1" s="44">
      <c r="B103" s="27">
        <f>(75/80*(60/C5))</f>
        <v/>
      </c>
      <c r="C103" s="27">
        <f>IF(MOD((75/80*(60/C5)),(60/C5))&lt;(60/C5*C9),C6+C4,C6)</f>
        <v/>
      </c>
      <c r="D103" s="27">
        <f>IF(MOD((75/80*(60/C5)),(60/C5))&lt;(60/C5*C9),(C4/C8)*EXP(-MOD((75/80*(60/C5)),(60/C5))/(C8*C7))*60,-((C4*C7*(1-EXP(-(60/C5*C9)/(C8*C7))))/(C8*C7))*EXP(-(MOD((75/80*(60/C5)),(60/C5))-(60/C5*C9))/(C8*C7))*60)</f>
        <v/>
      </c>
      <c r="E103" s="28">
        <f>(IF(MOD((75/80*(60/C5)),(60/C5))&lt;(60/C5*C9),C4*C7*(1-EXP(-MOD((75/80*(60/C5)),(60/C5))/(C8*C7))),(C4*C7*(1-EXP(-(60/C5*C9)/(C8*C7))))*EXP(-(MOD((75/80*(60/C5)),(60/C5))-(60/C5*C9))/(C8*C7))))*1000</f>
        <v/>
      </c>
      <c r="F103" s="27">
        <f>IF(AND(MOD((75/80*(60/C5)),(60/C5))&lt;(60/C5*C9),MOD((75/80*(60/C5)),(60/C5))&lt;C12),-ABS(C11)*SIN(PI()*MOD((75/80*(60/C5)),(60/C5))/C12),0)</f>
        <v/>
      </c>
      <c r="G103" s="27">
        <f>C6*(C10/(C7+C10))+(E103/1000)/C10+F103</f>
        <v/>
      </c>
      <c r="H103" s="27">
        <f>C103-G103</f>
        <v/>
      </c>
      <c r="I103" s="27">
        <f>C6+(E103/1000)/C7</f>
        <v/>
      </c>
    </row>
    <row r="104" ht="12.95" customHeight="1" s="44">
      <c r="B104" s="25">
        <f>(76/80*(60/C5))</f>
        <v/>
      </c>
      <c r="C104" s="25">
        <f>IF(MOD((76/80*(60/C5)),(60/C5))&lt;(60/C5*C9),C6+C4,C6)</f>
        <v/>
      </c>
      <c r="D104" s="25">
        <f>IF(MOD((76/80*(60/C5)),(60/C5))&lt;(60/C5*C9),(C4/C8)*EXP(-MOD((76/80*(60/C5)),(60/C5))/(C8*C7))*60,-((C4*C7*(1-EXP(-(60/C5*C9)/(C8*C7))))/(C8*C7))*EXP(-(MOD((76/80*(60/C5)),(60/C5))-(60/C5*C9))/(C8*C7))*60)</f>
        <v/>
      </c>
      <c r="E104" s="26">
        <f>(IF(MOD((76/80*(60/C5)),(60/C5))&lt;(60/C5*C9),C4*C7*(1-EXP(-MOD((76/80*(60/C5)),(60/C5))/(C8*C7))),(C4*C7*(1-EXP(-(60/C5*C9)/(C8*C7))))*EXP(-(MOD((76/80*(60/C5)),(60/C5))-(60/C5*C9))/(C8*C7))))*1000</f>
        <v/>
      </c>
      <c r="F104" s="25">
        <f>IF(AND(MOD((76/80*(60/C5)),(60/C5))&lt;(60/C5*C9),MOD((76/80*(60/C5)),(60/C5))&lt;C12),-ABS(C11)*SIN(PI()*MOD((76/80*(60/C5)),(60/C5))/C12),0)</f>
        <v/>
      </c>
      <c r="G104" s="25">
        <f>C6*(C10/(C7+C10))+(E104/1000)/C10+F104</f>
        <v/>
      </c>
      <c r="H104" s="25">
        <f>C104-G104</f>
        <v/>
      </c>
      <c r="I104" s="25">
        <f>C6+(E104/1000)/C7</f>
        <v/>
      </c>
    </row>
    <row r="105" ht="12.95" customHeight="1" s="44">
      <c r="B105" s="27">
        <f>(77/80*(60/C5))</f>
        <v/>
      </c>
      <c r="C105" s="27">
        <f>IF(MOD((77/80*(60/C5)),(60/C5))&lt;(60/C5*C9),C6+C4,C6)</f>
        <v/>
      </c>
      <c r="D105" s="27">
        <f>IF(MOD((77/80*(60/C5)),(60/C5))&lt;(60/C5*C9),(C4/C8)*EXP(-MOD((77/80*(60/C5)),(60/C5))/(C8*C7))*60,-((C4*C7*(1-EXP(-(60/C5*C9)/(C8*C7))))/(C8*C7))*EXP(-(MOD((77/80*(60/C5)),(60/C5))-(60/C5*C9))/(C8*C7))*60)</f>
        <v/>
      </c>
      <c r="E105" s="28">
        <f>(IF(MOD((77/80*(60/C5)),(60/C5))&lt;(60/C5*C9),C4*C7*(1-EXP(-MOD((77/80*(60/C5)),(60/C5))/(C8*C7))),(C4*C7*(1-EXP(-(60/C5*C9)/(C8*C7))))*EXP(-(MOD((77/80*(60/C5)),(60/C5))-(60/C5*C9))/(C8*C7))))*1000</f>
        <v/>
      </c>
      <c r="F105" s="27">
        <f>IF(AND(MOD((77/80*(60/C5)),(60/C5))&lt;(60/C5*C9),MOD((77/80*(60/C5)),(60/C5))&lt;C12),-ABS(C11)*SIN(PI()*MOD((77/80*(60/C5)),(60/C5))/C12),0)</f>
        <v/>
      </c>
      <c r="G105" s="27">
        <f>C6*(C10/(C7+C10))+(E105/1000)/C10+F105</f>
        <v/>
      </c>
      <c r="H105" s="27">
        <f>C105-G105</f>
        <v/>
      </c>
      <c r="I105" s="27">
        <f>C6+(E105/1000)/C7</f>
        <v/>
      </c>
    </row>
    <row r="106" ht="12.95" customHeight="1" s="44">
      <c r="B106" s="25">
        <f>(78/80*(60/C5))</f>
        <v/>
      </c>
      <c r="C106" s="25">
        <f>IF(MOD((78/80*(60/C5)),(60/C5))&lt;(60/C5*C9),C6+C4,C6)</f>
        <v/>
      </c>
      <c r="D106" s="25">
        <f>IF(MOD((78/80*(60/C5)),(60/C5))&lt;(60/C5*C9),(C4/C8)*EXP(-MOD((78/80*(60/C5)),(60/C5))/(C8*C7))*60,-((C4*C7*(1-EXP(-(60/C5*C9)/(C8*C7))))/(C8*C7))*EXP(-(MOD((78/80*(60/C5)),(60/C5))-(60/C5*C9))/(C8*C7))*60)</f>
        <v/>
      </c>
      <c r="E106" s="26">
        <f>(IF(MOD((78/80*(60/C5)),(60/C5))&lt;(60/C5*C9),C4*C7*(1-EXP(-MOD((78/80*(60/C5)),(60/C5))/(C8*C7))),(C4*C7*(1-EXP(-(60/C5*C9)/(C8*C7))))*EXP(-(MOD((78/80*(60/C5)),(60/C5))-(60/C5*C9))/(C8*C7))))*1000</f>
        <v/>
      </c>
      <c r="F106" s="25">
        <f>IF(AND(MOD((78/80*(60/C5)),(60/C5))&lt;(60/C5*C9),MOD((78/80*(60/C5)),(60/C5))&lt;C12),-ABS(C11)*SIN(PI()*MOD((78/80*(60/C5)),(60/C5))/C12),0)</f>
        <v/>
      </c>
      <c r="G106" s="25">
        <f>C6*(C10/(C7+C10))+(E106/1000)/C10+F106</f>
        <v/>
      </c>
      <c r="H106" s="25">
        <f>C106-G106</f>
        <v/>
      </c>
      <c r="I106" s="25">
        <f>C6+(E106/1000)/C7</f>
        <v/>
      </c>
    </row>
    <row r="107" ht="12.95" customHeight="1" s="44">
      <c r="B107" s="27">
        <f>(79/80*(60/C5))</f>
        <v/>
      </c>
      <c r="C107" s="27">
        <f>IF(MOD((79/80*(60/C5)),(60/C5))&lt;(60/C5*C9),C6+C4,C6)</f>
        <v/>
      </c>
      <c r="D107" s="27">
        <f>IF(MOD((79/80*(60/C5)),(60/C5))&lt;(60/C5*C9),(C4/C8)*EXP(-MOD((79/80*(60/C5)),(60/C5))/(C8*C7))*60,-((C4*C7*(1-EXP(-(60/C5*C9)/(C8*C7))))/(C8*C7))*EXP(-(MOD((79/80*(60/C5)),(60/C5))-(60/C5*C9))/(C8*C7))*60)</f>
        <v/>
      </c>
      <c r="E107" s="28">
        <f>(IF(MOD((79/80*(60/C5)),(60/C5))&lt;(60/C5*C9),C4*C7*(1-EXP(-MOD((79/80*(60/C5)),(60/C5))/(C8*C7))),(C4*C7*(1-EXP(-(60/C5*C9)/(C8*C7))))*EXP(-(MOD((79/80*(60/C5)),(60/C5))-(60/C5*C9))/(C8*C7))))*1000</f>
        <v/>
      </c>
      <c r="F107" s="27">
        <f>IF(AND(MOD((79/80*(60/C5)),(60/C5))&lt;(60/C5*C9),MOD((79/80*(60/C5)),(60/C5))&lt;C12),-ABS(C11)*SIN(PI()*MOD((79/80*(60/C5)),(60/C5))/C12),0)</f>
        <v/>
      </c>
      <c r="G107" s="27">
        <f>C6*(C10/(C7+C10))+(E107/1000)/C10+F107</f>
        <v/>
      </c>
      <c r="H107" s="27">
        <f>C107-G107</f>
        <v/>
      </c>
      <c r="I107" s="27">
        <f>C6+(E107/1000)/C7</f>
        <v/>
      </c>
    </row>
    <row r="108" ht="12.95" customHeight="1" s="44">
      <c r="B108" s="25">
        <f>(80/80*(60/C5))</f>
        <v/>
      </c>
      <c r="C108" s="25">
        <f>IF(MOD((80/80*(60/C5)),(60/C5))&lt;(60/C5*C9),C6+C4,C6)</f>
        <v/>
      </c>
      <c r="D108" s="25">
        <f>IF(MOD((80/80*(60/C5)),(60/C5))&lt;(60/C5*C9),(C4/C8)*EXP(-MOD((80/80*(60/C5)),(60/C5))/(C8*C7))*60,-((C4*C7*(1-EXP(-(60/C5*C9)/(C8*C7))))/(C8*C7))*EXP(-(MOD((80/80*(60/C5)),(60/C5))-(60/C5*C9))/(C8*C7))*60)</f>
        <v/>
      </c>
      <c r="E108" s="26">
        <f>(IF(MOD((80/80*(60/C5)),(60/C5))&lt;(60/C5*C9),C4*C7*(1-EXP(-MOD((80/80*(60/C5)),(60/C5))/(C8*C7))),(C4*C7*(1-EXP(-(60/C5*C9)/(C8*C7))))*EXP(-(MOD((80/80*(60/C5)),(60/C5))-(60/C5*C9))/(C8*C7))))*1000</f>
        <v/>
      </c>
      <c r="F108" s="25">
        <f>IF(AND(MOD((80/80*(60/C5)),(60/C5))&lt;(60/C5*C9),MOD((80/80*(60/C5)),(60/C5))&lt;C12),-ABS(C11)*SIN(PI()*MOD((80/80*(60/C5)),(60/C5))/C12),0)</f>
        <v/>
      </c>
      <c r="G108" s="25">
        <f>C6*(C10/(C7+C10))+(E108/1000)/C10+F108</f>
        <v/>
      </c>
      <c r="H108" s="25">
        <f>C108-G108</f>
        <v/>
      </c>
      <c r="I108" s="25">
        <f>C6+(E108/1000)/C7</f>
        <v/>
      </c>
    </row>
    <row r="109" ht="12.95" customHeight="1" s="44">
      <c r="B109" s="27">
        <f>(81/80*(60/C5))</f>
        <v/>
      </c>
      <c r="C109" s="27">
        <f>IF(MOD((81/80*(60/C5)),(60/C5))&lt;(60/C5*C9),C6+C4,C6)</f>
        <v/>
      </c>
      <c r="D109" s="27">
        <f>IF(MOD((81/80*(60/C5)),(60/C5))&lt;(60/C5*C9),(C4/C8)*EXP(-MOD((81/80*(60/C5)),(60/C5))/(C8*C7))*60,-((C4*C7*(1-EXP(-(60/C5*C9)/(C8*C7))))/(C8*C7))*EXP(-(MOD((81/80*(60/C5)),(60/C5))-(60/C5*C9))/(C8*C7))*60)</f>
        <v/>
      </c>
      <c r="E109" s="28">
        <f>(IF(MOD((81/80*(60/C5)),(60/C5))&lt;(60/C5*C9),C4*C7*(1-EXP(-MOD((81/80*(60/C5)),(60/C5))/(C8*C7))),(C4*C7*(1-EXP(-(60/C5*C9)/(C8*C7))))*EXP(-(MOD((81/80*(60/C5)),(60/C5))-(60/C5*C9))/(C8*C7))))*1000</f>
        <v/>
      </c>
      <c r="F109" s="27">
        <f>IF(AND(MOD((81/80*(60/C5)),(60/C5))&lt;(60/C5*C9),MOD((81/80*(60/C5)),(60/C5))&lt;C12),-ABS(C11)*SIN(PI()*MOD((81/80*(60/C5)),(60/C5))/C12),0)</f>
        <v/>
      </c>
      <c r="G109" s="27">
        <f>C6*(C10/(C7+C10))+(E109/1000)/C10+F109</f>
        <v/>
      </c>
      <c r="H109" s="27">
        <f>C109-G109</f>
        <v/>
      </c>
      <c r="I109" s="27">
        <f>C6+(E109/1000)/C7</f>
        <v/>
      </c>
    </row>
    <row r="110" ht="12.95" customHeight="1" s="44">
      <c r="B110" s="25">
        <f>(82/80*(60/C5))</f>
        <v/>
      </c>
      <c r="C110" s="25">
        <f>IF(MOD((82/80*(60/C5)),(60/C5))&lt;(60/C5*C9),C6+C4,C6)</f>
        <v/>
      </c>
      <c r="D110" s="25">
        <f>IF(MOD((82/80*(60/C5)),(60/C5))&lt;(60/C5*C9),(C4/C8)*EXP(-MOD((82/80*(60/C5)),(60/C5))/(C8*C7))*60,-((C4*C7*(1-EXP(-(60/C5*C9)/(C8*C7))))/(C8*C7))*EXP(-(MOD((82/80*(60/C5)),(60/C5))-(60/C5*C9))/(C8*C7))*60)</f>
        <v/>
      </c>
      <c r="E110" s="26">
        <f>(IF(MOD((82/80*(60/C5)),(60/C5))&lt;(60/C5*C9),C4*C7*(1-EXP(-MOD((82/80*(60/C5)),(60/C5))/(C8*C7))),(C4*C7*(1-EXP(-(60/C5*C9)/(C8*C7))))*EXP(-(MOD((82/80*(60/C5)),(60/C5))-(60/C5*C9))/(C8*C7))))*1000</f>
        <v/>
      </c>
      <c r="F110" s="25">
        <f>IF(AND(MOD((82/80*(60/C5)),(60/C5))&lt;(60/C5*C9),MOD((82/80*(60/C5)),(60/C5))&lt;C12),-ABS(C11)*SIN(PI()*MOD((82/80*(60/C5)),(60/C5))/C12),0)</f>
        <v/>
      </c>
      <c r="G110" s="25">
        <f>C6*(C10/(C7+C10))+(E110/1000)/C10+F110</f>
        <v/>
      </c>
      <c r="H110" s="25">
        <f>C110-G110</f>
        <v/>
      </c>
      <c r="I110" s="25">
        <f>C6+(E110/1000)/C7</f>
        <v/>
      </c>
    </row>
    <row r="111" ht="12.95" customHeight="1" s="44">
      <c r="B111" s="27">
        <f>(83/80*(60/C5))</f>
        <v/>
      </c>
      <c r="C111" s="27">
        <f>IF(MOD((83/80*(60/C5)),(60/C5))&lt;(60/C5*C9),C6+C4,C6)</f>
        <v/>
      </c>
      <c r="D111" s="27">
        <f>IF(MOD((83/80*(60/C5)),(60/C5))&lt;(60/C5*C9),(C4/C8)*EXP(-MOD((83/80*(60/C5)),(60/C5))/(C8*C7))*60,-((C4*C7*(1-EXP(-(60/C5*C9)/(C8*C7))))/(C8*C7))*EXP(-(MOD((83/80*(60/C5)),(60/C5))-(60/C5*C9))/(C8*C7))*60)</f>
        <v/>
      </c>
      <c r="E111" s="28">
        <f>(IF(MOD((83/80*(60/C5)),(60/C5))&lt;(60/C5*C9),C4*C7*(1-EXP(-MOD((83/80*(60/C5)),(60/C5))/(C8*C7))),(C4*C7*(1-EXP(-(60/C5*C9)/(C8*C7))))*EXP(-(MOD((83/80*(60/C5)),(60/C5))-(60/C5*C9))/(C8*C7))))*1000</f>
        <v/>
      </c>
      <c r="F111" s="27">
        <f>IF(AND(MOD((83/80*(60/C5)),(60/C5))&lt;(60/C5*C9),MOD((83/80*(60/C5)),(60/C5))&lt;C12),-ABS(C11)*SIN(PI()*MOD((83/80*(60/C5)),(60/C5))/C12),0)</f>
        <v/>
      </c>
      <c r="G111" s="27">
        <f>C6*(C10/(C7+C10))+(E111/1000)/C10+F111</f>
        <v/>
      </c>
      <c r="H111" s="27">
        <f>C111-G111</f>
        <v/>
      </c>
      <c r="I111" s="27">
        <f>C6+(E111/1000)/C7</f>
        <v/>
      </c>
    </row>
    <row r="112" ht="12.95" customHeight="1" s="44">
      <c r="B112" s="25">
        <f>(84/80*(60/C5))</f>
        <v/>
      </c>
      <c r="C112" s="25">
        <f>IF(MOD((84/80*(60/C5)),(60/C5))&lt;(60/C5*C9),C6+C4,C6)</f>
        <v/>
      </c>
      <c r="D112" s="25">
        <f>IF(MOD((84/80*(60/C5)),(60/C5))&lt;(60/C5*C9),(C4/C8)*EXP(-MOD((84/80*(60/C5)),(60/C5))/(C8*C7))*60,-((C4*C7*(1-EXP(-(60/C5*C9)/(C8*C7))))/(C8*C7))*EXP(-(MOD((84/80*(60/C5)),(60/C5))-(60/C5*C9))/(C8*C7))*60)</f>
        <v/>
      </c>
      <c r="E112" s="26">
        <f>(IF(MOD((84/80*(60/C5)),(60/C5))&lt;(60/C5*C9),C4*C7*(1-EXP(-MOD((84/80*(60/C5)),(60/C5))/(C8*C7))),(C4*C7*(1-EXP(-(60/C5*C9)/(C8*C7))))*EXP(-(MOD((84/80*(60/C5)),(60/C5))-(60/C5*C9))/(C8*C7))))*1000</f>
        <v/>
      </c>
      <c r="F112" s="25">
        <f>IF(AND(MOD((84/80*(60/C5)),(60/C5))&lt;(60/C5*C9),MOD((84/80*(60/C5)),(60/C5))&lt;C12),-ABS(C11)*SIN(PI()*MOD((84/80*(60/C5)),(60/C5))/C12),0)</f>
        <v/>
      </c>
      <c r="G112" s="25">
        <f>C6*(C10/(C7+C10))+(E112/1000)/C10+F112</f>
        <v/>
      </c>
      <c r="H112" s="25">
        <f>C112-G112</f>
        <v/>
      </c>
      <c r="I112" s="25">
        <f>C6+(E112/1000)/C7</f>
        <v/>
      </c>
    </row>
    <row r="113" ht="12.95" customHeight="1" s="44">
      <c r="B113" s="27">
        <f>(85/80*(60/C5))</f>
        <v/>
      </c>
      <c r="C113" s="27">
        <f>IF(MOD((85/80*(60/C5)),(60/C5))&lt;(60/C5*C9),C6+C4,C6)</f>
        <v/>
      </c>
      <c r="D113" s="27">
        <f>IF(MOD((85/80*(60/C5)),(60/C5))&lt;(60/C5*C9),(C4/C8)*EXP(-MOD((85/80*(60/C5)),(60/C5))/(C8*C7))*60,-((C4*C7*(1-EXP(-(60/C5*C9)/(C8*C7))))/(C8*C7))*EXP(-(MOD((85/80*(60/C5)),(60/C5))-(60/C5*C9))/(C8*C7))*60)</f>
        <v/>
      </c>
      <c r="E113" s="28">
        <f>(IF(MOD((85/80*(60/C5)),(60/C5))&lt;(60/C5*C9),C4*C7*(1-EXP(-MOD((85/80*(60/C5)),(60/C5))/(C8*C7))),(C4*C7*(1-EXP(-(60/C5*C9)/(C8*C7))))*EXP(-(MOD((85/80*(60/C5)),(60/C5))-(60/C5*C9))/(C8*C7))))*1000</f>
        <v/>
      </c>
      <c r="F113" s="27">
        <f>IF(AND(MOD((85/80*(60/C5)),(60/C5))&lt;(60/C5*C9),MOD((85/80*(60/C5)),(60/C5))&lt;C12),-ABS(C11)*SIN(PI()*MOD((85/80*(60/C5)),(60/C5))/C12),0)</f>
        <v/>
      </c>
      <c r="G113" s="27">
        <f>C6*(C10/(C7+C10))+(E113/1000)/C10+F113</f>
        <v/>
      </c>
      <c r="H113" s="27">
        <f>C113-G113</f>
        <v/>
      </c>
      <c r="I113" s="27">
        <f>C6+(E113/1000)/C7</f>
        <v/>
      </c>
    </row>
    <row r="114" ht="12.95" customHeight="1" s="44">
      <c r="B114" s="25">
        <f>(86/80*(60/C5))</f>
        <v/>
      </c>
      <c r="C114" s="25">
        <f>IF(MOD((86/80*(60/C5)),(60/C5))&lt;(60/C5*C9),C6+C4,C6)</f>
        <v/>
      </c>
      <c r="D114" s="25">
        <f>IF(MOD((86/80*(60/C5)),(60/C5))&lt;(60/C5*C9),(C4/C8)*EXP(-MOD((86/80*(60/C5)),(60/C5))/(C8*C7))*60,-((C4*C7*(1-EXP(-(60/C5*C9)/(C8*C7))))/(C8*C7))*EXP(-(MOD((86/80*(60/C5)),(60/C5))-(60/C5*C9))/(C8*C7))*60)</f>
        <v/>
      </c>
      <c r="E114" s="26">
        <f>(IF(MOD((86/80*(60/C5)),(60/C5))&lt;(60/C5*C9),C4*C7*(1-EXP(-MOD((86/80*(60/C5)),(60/C5))/(C8*C7))),(C4*C7*(1-EXP(-(60/C5*C9)/(C8*C7))))*EXP(-(MOD((86/80*(60/C5)),(60/C5))-(60/C5*C9))/(C8*C7))))*1000</f>
        <v/>
      </c>
      <c r="F114" s="25">
        <f>IF(AND(MOD((86/80*(60/C5)),(60/C5))&lt;(60/C5*C9),MOD((86/80*(60/C5)),(60/C5))&lt;C12),-ABS(C11)*SIN(PI()*MOD((86/80*(60/C5)),(60/C5))/C12),0)</f>
        <v/>
      </c>
      <c r="G114" s="25">
        <f>C6*(C10/(C7+C10))+(E114/1000)/C10+F114</f>
        <v/>
      </c>
      <c r="H114" s="25">
        <f>C114-G114</f>
        <v/>
      </c>
      <c r="I114" s="25">
        <f>C6+(E114/1000)/C7</f>
        <v/>
      </c>
    </row>
    <row r="115" ht="12.95" customHeight="1" s="44">
      <c r="B115" s="27">
        <f>(87/80*(60/C5))</f>
        <v/>
      </c>
      <c r="C115" s="27">
        <f>IF(MOD((87/80*(60/C5)),(60/C5))&lt;(60/C5*C9),C6+C4,C6)</f>
        <v/>
      </c>
      <c r="D115" s="27">
        <f>IF(MOD((87/80*(60/C5)),(60/C5))&lt;(60/C5*C9),(C4/C8)*EXP(-MOD((87/80*(60/C5)),(60/C5))/(C8*C7))*60,-((C4*C7*(1-EXP(-(60/C5*C9)/(C8*C7))))/(C8*C7))*EXP(-(MOD((87/80*(60/C5)),(60/C5))-(60/C5*C9))/(C8*C7))*60)</f>
        <v/>
      </c>
      <c r="E115" s="28">
        <f>(IF(MOD((87/80*(60/C5)),(60/C5))&lt;(60/C5*C9),C4*C7*(1-EXP(-MOD((87/80*(60/C5)),(60/C5))/(C8*C7))),(C4*C7*(1-EXP(-(60/C5*C9)/(C8*C7))))*EXP(-(MOD((87/80*(60/C5)),(60/C5))-(60/C5*C9))/(C8*C7))))*1000</f>
        <v/>
      </c>
      <c r="F115" s="27">
        <f>IF(AND(MOD((87/80*(60/C5)),(60/C5))&lt;(60/C5*C9),MOD((87/80*(60/C5)),(60/C5))&lt;C12),-ABS(C11)*SIN(PI()*MOD((87/80*(60/C5)),(60/C5))/C12),0)</f>
        <v/>
      </c>
      <c r="G115" s="27">
        <f>C6*(C10/(C7+C10))+(E115/1000)/C10+F115</f>
        <v/>
      </c>
      <c r="H115" s="27">
        <f>C115-G115</f>
        <v/>
      </c>
      <c r="I115" s="27">
        <f>C6+(E115/1000)/C7</f>
        <v/>
      </c>
    </row>
    <row r="116" ht="12.95" customHeight="1" s="44">
      <c r="B116" s="25">
        <f>(88/80*(60/C5))</f>
        <v/>
      </c>
      <c r="C116" s="25">
        <f>IF(MOD((88/80*(60/C5)),(60/C5))&lt;(60/C5*C9),C6+C4,C6)</f>
        <v/>
      </c>
      <c r="D116" s="25">
        <f>IF(MOD((88/80*(60/C5)),(60/C5))&lt;(60/C5*C9),(C4/C8)*EXP(-MOD((88/80*(60/C5)),(60/C5))/(C8*C7))*60,-((C4*C7*(1-EXP(-(60/C5*C9)/(C8*C7))))/(C8*C7))*EXP(-(MOD((88/80*(60/C5)),(60/C5))-(60/C5*C9))/(C8*C7))*60)</f>
        <v/>
      </c>
      <c r="E116" s="26">
        <f>(IF(MOD((88/80*(60/C5)),(60/C5))&lt;(60/C5*C9),C4*C7*(1-EXP(-MOD((88/80*(60/C5)),(60/C5))/(C8*C7))),(C4*C7*(1-EXP(-(60/C5*C9)/(C8*C7))))*EXP(-(MOD((88/80*(60/C5)),(60/C5))-(60/C5*C9))/(C8*C7))))*1000</f>
        <v/>
      </c>
      <c r="F116" s="25">
        <f>IF(AND(MOD((88/80*(60/C5)),(60/C5))&lt;(60/C5*C9),MOD((88/80*(60/C5)),(60/C5))&lt;C12),-ABS(C11)*SIN(PI()*MOD((88/80*(60/C5)),(60/C5))/C12),0)</f>
        <v/>
      </c>
      <c r="G116" s="25">
        <f>C6*(C10/(C7+C10))+(E116/1000)/C10+F116</f>
        <v/>
      </c>
      <c r="H116" s="25">
        <f>C116-G116</f>
        <v/>
      </c>
      <c r="I116" s="25">
        <f>C6+(E116/1000)/C7</f>
        <v/>
      </c>
    </row>
    <row r="117" ht="12.95" customHeight="1" s="44">
      <c r="B117" s="27">
        <f>(89/80*(60/C5))</f>
        <v/>
      </c>
      <c r="C117" s="27">
        <f>IF(MOD((89/80*(60/C5)),(60/C5))&lt;(60/C5*C9),C6+C4,C6)</f>
        <v/>
      </c>
      <c r="D117" s="27">
        <f>IF(MOD((89/80*(60/C5)),(60/C5))&lt;(60/C5*C9),(C4/C8)*EXP(-MOD((89/80*(60/C5)),(60/C5))/(C8*C7))*60,-((C4*C7*(1-EXP(-(60/C5*C9)/(C8*C7))))/(C8*C7))*EXP(-(MOD((89/80*(60/C5)),(60/C5))-(60/C5*C9))/(C8*C7))*60)</f>
        <v/>
      </c>
      <c r="E117" s="28">
        <f>(IF(MOD((89/80*(60/C5)),(60/C5))&lt;(60/C5*C9),C4*C7*(1-EXP(-MOD((89/80*(60/C5)),(60/C5))/(C8*C7))),(C4*C7*(1-EXP(-(60/C5*C9)/(C8*C7))))*EXP(-(MOD((89/80*(60/C5)),(60/C5))-(60/C5*C9))/(C8*C7))))*1000</f>
        <v/>
      </c>
      <c r="F117" s="27">
        <f>IF(AND(MOD((89/80*(60/C5)),(60/C5))&lt;(60/C5*C9),MOD((89/80*(60/C5)),(60/C5))&lt;C12),-ABS(C11)*SIN(PI()*MOD((89/80*(60/C5)),(60/C5))/C12),0)</f>
        <v/>
      </c>
      <c r="G117" s="27">
        <f>C6*(C10/(C7+C10))+(E117/1000)/C10+F117</f>
        <v/>
      </c>
      <c r="H117" s="27">
        <f>C117-G117</f>
        <v/>
      </c>
      <c r="I117" s="27">
        <f>C6+(E117/1000)/C7</f>
        <v/>
      </c>
    </row>
    <row r="118" ht="12.95" customHeight="1" s="44">
      <c r="B118" s="25">
        <f>(90/80*(60/C5))</f>
        <v/>
      </c>
      <c r="C118" s="25">
        <f>IF(MOD((90/80*(60/C5)),(60/C5))&lt;(60/C5*C9),C6+C4,C6)</f>
        <v/>
      </c>
      <c r="D118" s="25">
        <f>IF(MOD((90/80*(60/C5)),(60/C5))&lt;(60/C5*C9),(C4/C8)*EXP(-MOD((90/80*(60/C5)),(60/C5))/(C8*C7))*60,-((C4*C7*(1-EXP(-(60/C5*C9)/(C8*C7))))/(C8*C7))*EXP(-(MOD((90/80*(60/C5)),(60/C5))-(60/C5*C9))/(C8*C7))*60)</f>
        <v/>
      </c>
      <c r="E118" s="26">
        <f>(IF(MOD((90/80*(60/C5)),(60/C5))&lt;(60/C5*C9),C4*C7*(1-EXP(-MOD((90/80*(60/C5)),(60/C5))/(C8*C7))),(C4*C7*(1-EXP(-(60/C5*C9)/(C8*C7))))*EXP(-(MOD((90/80*(60/C5)),(60/C5))-(60/C5*C9))/(C8*C7))))*1000</f>
        <v/>
      </c>
      <c r="F118" s="25">
        <f>IF(AND(MOD((90/80*(60/C5)),(60/C5))&lt;(60/C5*C9),MOD((90/80*(60/C5)),(60/C5))&lt;C12),-ABS(C11)*SIN(PI()*MOD((90/80*(60/C5)),(60/C5))/C12),0)</f>
        <v/>
      </c>
      <c r="G118" s="25">
        <f>C6*(C10/(C7+C10))+(E118/1000)/C10+F118</f>
        <v/>
      </c>
      <c r="H118" s="25">
        <f>C118-G118</f>
        <v/>
      </c>
      <c r="I118" s="25">
        <f>C6+(E118/1000)/C7</f>
        <v/>
      </c>
    </row>
    <row r="119" ht="12.95" customHeight="1" s="44">
      <c r="B119" s="27">
        <f>(91/80*(60/C5))</f>
        <v/>
      </c>
      <c r="C119" s="27">
        <f>IF(MOD((91/80*(60/C5)),(60/C5))&lt;(60/C5*C9),C6+C4,C6)</f>
        <v/>
      </c>
      <c r="D119" s="27">
        <f>IF(MOD((91/80*(60/C5)),(60/C5))&lt;(60/C5*C9),(C4/C8)*EXP(-MOD((91/80*(60/C5)),(60/C5))/(C8*C7))*60,-((C4*C7*(1-EXP(-(60/C5*C9)/(C8*C7))))/(C8*C7))*EXP(-(MOD((91/80*(60/C5)),(60/C5))-(60/C5*C9))/(C8*C7))*60)</f>
        <v/>
      </c>
      <c r="E119" s="28">
        <f>(IF(MOD((91/80*(60/C5)),(60/C5))&lt;(60/C5*C9),C4*C7*(1-EXP(-MOD((91/80*(60/C5)),(60/C5))/(C8*C7))),(C4*C7*(1-EXP(-(60/C5*C9)/(C8*C7))))*EXP(-(MOD((91/80*(60/C5)),(60/C5))-(60/C5*C9))/(C8*C7))))*1000</f>
        <v/>
      </c>
      <c r="F119" s="27">
        <f>IF(AND(MOD((91/80*(60/C5)),(60/C5))&lt;(60/C5*C9),MOD((91/80*(60/C5)),(60/C5))&lt;C12),-ABS(C11)*SIN(PI()*MOD((91/80*(60/C5)),(60/C5))/C12),0)</f>
        <v/>
      </c>
      <c r="G119" s="27">
        <f>C6*(C10/(C7+C10))+(E119/1000)/C10+F119</f>
        <v/>
      </c>
      <c r="H119" s="27">
        <f>C119-G119</f>
        <v/>
      </c>
      <c r="I119" s="27">
        <f>C6+(E119/1000)/C7</f>
        <v/>
      </c>
    </row>
    <row r="120" ht="12.95" customHeight="1" s="44">
      <c r="B120" s="25">
        <f>(92/80*(60/C5))</f>
        <v/>
      </c>
      <c r="C120" s="25">
        <f>IF(MOD((92/80*(60/C5)),(60/C5))&lt;(60/C5*C9),C6+C4,C6)</f>
        <v/>
      </c>
      <c r="D120" s="25">
        <f>IF(MOD((92/80*(60/C5)),(60/C5))&lt;(60/C5*C9),(C4/C8)*EXP(-MOD((92/80*(60/C5)),(60/C5))/(C8*C7))*60,-((C4*C7*(1-EXP(-(60/C5*C9)/(C8*C7))))/(C8*C7))*EXP(-(MOD((92/80*(60/C5)),(60/C5))-(60/C5*C9))/(C8*C7))*60)</f>
        <v/>
      </c>
      <c r="E120" s="26">
        <f>(IF(MOD((92/80*(60/C5)),(60/C5))&lt;(60/C5*C9),C4*C7*(1-EXP(-MOD((92/80*(60/C5)),(60/C5))/(C8*C7))),(C4*C7*(1-EXP(-(60/C5*C9)/(C8*C7))))*EXP(-(MOD((92/80*(60/C5)),(60/C5))-(60/C5*C9))/(C8*C7))))*1000</f>
        <v/>
      </c>
      <c r="F120" s="25">
        <f>IF(AND(MOD((92/80*(60/C5)),(60/C5))&lt;(60/C5*C9),MOD((92/80*(60/C5)),(60/C5))&lt;C12),-ABS(C11)*SIN(PI()*MOD((92/80*(60/C5)),(60/C5))/C12),0)</f>
        <v/>
      </c>
      <c r="G120" s="25">
        <f>C6*(C10/(C7+C10))+(E120/1000)/C10+F120</f>
        <v/>
      </c>
      <c r="H120" s="25">
        <f>C120-G120</f>
        <v/>
      </c>
      <c r="I120" s="25">
        <f>C6+(E120/1000)/C7</f>
        <v/>
      </c>
    </row>
    <row r="121" ht="12.95" customHeight="1" s="44">
      <c r="B121" s="27">
        <f>(93/80*(60/C5))</f>
        <v/>
      </c>
      <c r="C121" s="27">
        <f>IF(MOD((93/80*(60/C5)),(60/C5))&lt;(60/C5*C9),C6+C4,C6)</f>
        <v/>
      </c>
      <c r="D121" s="27">
        <f>IF(MOD((93/80*(60/C5)),(60/C5))&lt;(60/C5*C9),(C4/C8)*EXP(-MOD((93/80*(60/C5)),(60/C5))/(C8*C7))*60,-((C4*C7*(1-EXP(-(60/C5*C9)/(C8*C7))))/(C8*C7))*EXP(-(MOD((93/80*(60/C5)),(60/C5))-(60/C5*C9))/(C8*C7))*60)</f>
        <v/>
      </c>
      <c r="E121" s="28">
        <f>(IF(MOD((93/80*(60/C5)),(60/C5))&lt;(60/C5*C9),C4*C7*(1-EXP(-MOD((93/80*(60/C5)),(60/C5))/(C8*C7))),(C4*C7*(1-EXP(-(60/C5*C9)/(C8*C7))))*EXP(-(MOD((93/80*(60/C5)),(60/C5))-(60/C5*C9))/(C8*C7))))*1000</f>
        <v/>
      </c>
      <c r="F121" s="27">
        <f>IF(AND(MOD((93/80*(60/C5)),(60/C5))&lt;(60/C5*C9),MOD((93/80*(60/C5)),(60/C5))&lt;C12),-ABS(C11)*SIN(PI()*MOD((93/80*(60/C5)),(60/C5))/C12),0)</f>
        <v/>
      </c>
      <c r="G121" s="27">
        <f>C6*(C10/(C7+C10))+(E121/1000)/C10+F121</f>
        <v/>
      </c>
      <c r="H121" s="27">
        <f>C121-G121</f>
        <v/>
      </c>
      <c r="I121" s="27">
        <f>C6+(E121/1000)/C7</f>
        <v/>
      </c>
    </row>
    <row r="122" ht="12.95" customHeight="1" s="44">
      <c r="B122" s="25">
        <f>(94/80*(60/C5))</f>
        <v/>
      </c>
      <c r="C122" s="25">
        <f>IF(MOD((94/80*(60/C5)),(60/C5))&lt;(60/C5*C9),C6+C4,C6)</f>
        <v/>
      </c>
      <c r="D122" s="25">
        <f>IF(MOD((94/80*(60/C5)),(60/C5))&lt;(60/C5*C9),(C4/C8)*EXP(-MOD((94/80*(60/C5)),(60/C5))/(C8*C7))*60,-((C4*C7*(1-EXP(-(60/C5*C9)/(C8*C7))))/(C8*C7))*EXP(-(MOD((94/80*(60/C5)),(60/C5))-(60/C5*C9))/(C8*C7))*60)</f>
        <v/>
      </c>
      <c r="E122" s="26">
        <f>(IF(MOD((94/80*(60/C5)),(60/C5))&lt;(60/C5*C9),C4*C7*(1-EXP(-MOD((94/80*(60/C5)),(60/C5))/(C8*C7))),(C4*C7*(1-EXP(-(60/C5*C9)/(C8*C7))))*EXP(-(MOD((94/80*(60/C5)),(60/C5))-(60/C5*C9))/(C8*C7))))*1000</f>
        <v/>
      </c>
      <c r="F122" s="25">
        <f>IF(AND(MOD((94/80*(60/C5)),(60/C5))&lt;(60/C5*C9),MOD((94/80*(60/C5)),(60/C5))&lt;C12),-ABS(C11)*SIN(PI()*MOD((94/80*(60/C5)),(60/C5))/C12),0)</f>
        <v/>
      </c>
      <c r="G122" s="25">
        <f>C6*(C10/(C7+C10))+(E122/1000)/C10+F122</f>
        <v/>
      </c>
      <c r="H122" s="25">
        <f>C122-G122</f>
        <v/>
      </c>
      <c r="I122" s="25">
        <f>C6+(E122/1000)/C7</f>
        <v/>
      </c>
    </row>
    <row r="123" ht="12.95" customHeight="1" s="44">
      <c r="B123" s="27">
        <f>(95/80*(60/C5))</f>
        <v/>
      </c>
      <c r="C123" s="27">
        <f>IF(MOD((95/80*(60/C5)),(60/C5))&lt;(60/C5*C9),C6+C4,C6)</f>
        <v/>
      </c>
      <c r="D123" s="27">
        <f>IF(MOD((95/80*(60/C5)),(60/C5))&lt;(60/C5*C9),(C4/C8)*EXP(-MOD((95/80*(60/C5)),(60/C5))/(C8*C7))*60,-((C4*C7*(1-EXP(-(60/C5*C9)/(C8*C7))))/(C8*C7))*EXP(-(MOD((95/80*(60/C5)),(60/C5))-(60/C5*C9))/(C8*C7))*60)</f>
        <v/>
      </c>
      <c r="E123" s="28">
        <f>(IF(MOD((95/80*(60/C5)),(60/C5))&lt;(60/C5*C9),C4*C7*(1-EXP(-MOD((95/80*(60/C5)),(60/C5))/(C8*C7))),(C4*C7*(1-EXP(-(60/C5*C9)/(C8*C7))))*EXP(-(MOD((95/80*(60/C5)),(60/C5))-(60/C5*C9))/(C8*C7))))*1000</f>
        <v/>
      </c>
      <c r="F123" s="27">
        <f>IF(AND(MOD((95/80*(60/C5)),(60/C5))&lt;(60/C5*C9),MOD((95/80*(60/C5)),(60/C5))&lt;C12),-ABS(C11)*SIN(PI()*MOD((95/80*(60/C5)),(60/C5))/C12),0)</f>
        <v/>
      </c>
      <c r="G123" s="27">
        <f>C6*(C10/(C7+C10))+(E123/1000)/C10+F123</f>
        <v/>
      </c>
      <c r="H123" s="27">
        <f>C123-G123</f>
        <v/>
      </c>
      <c r="I123" s="27">
        <f>C6+(E123/1000)/C7</f>
        <v/>
      </c>
    </row>
    <row r="124" ht="12.95" customHeight="1" s="44">
      <c r="B124" s="25">
        <f>(96/80*(60/C5))</f>
        <v/>
      </c>
      <c r="C124" s="25">
        <f>IF(MOD((96/80*(60/C5)),(60/C5))&lt;(60/C5*C9),C6+C4,C6)</f>
        <v/>
      </c>
      <c r="D124" s="25">
        <f>IF(MOD((96/80*(60/C5)),(60/C5))&lt;(60/C5*C9),(C4/C8)*EXP(-MOD((96/80*(60/C5)),(60/C5))/(C8*C7))*60,-((C4*C7*(1-EXP(-(60/C5*C9)/(C8*C7))))/(C8*C7))*EXP(-(MOD((96/80*(60/C5)),(60/C5))-(60/C5*C9))/(C8*C7))*60)</f>
        <v/>
      </c>
      <c r="E124" s="26">
        <f>(IF(MOD((96/80*(60/C5)),(60/C5))&lt;(60/C5*C9),C4*C7*(1-EXP(-MOD((96/80*(60/C5)),(60/C5))/(C8*C7))),(C4*C7*(1-EXP(-(60/C5*C9)/(C8*C7))))*EXP(-(MOD((96/80*(60/C5)),(60/C5))-(60/C5*C9))/(C8*C7))))*1000</f>
        <v/>
      </c>
      <c r="F124" s="25">
        <f>IF(AND(MOD((96/80*(60/C5)),(60/C5))&lt;(60/C5*C9),MOD((96/80*(60/C5)),(60/C5))&lt;C12),-ABS(C11)*SIN(PI()*MOD((96/80*(60/C5)),(60/C5))/C12),0)</f>
        <v/>
      </c>
      <c r="G124" s="25">
        <f>C6*(C10/(C7+C10))+(E124/1000)/C10+F124</f>
        <v/>
      </c>
      <c r="H124" s="25">
        <f>C124-G124</f>
        <v/>
      </c>
      <c r="I124" s="25">
        <f>C6+(E124/1000)/C7</f>
        <v/>
      </c>
    </row>
    <row r="125" ht="12.95" customHeight="1" s="44">
      <c r="B125" s="27">
        <f>(97/80*(60/C5))</f>
        <v/>
      </c>
      <c r="C125" s="27">
        <f>IF(MOD((97/80*(60/C5)),(60/C5))&lt;(60/C5*C9),C6+C4,C6)</f>
        <v/>
      </c>
      <c r="D125" s="27">
        <f>IF(MOD((97/80*(60/C5)),(60/C5))&lt;(60/C5*C9),(C4/C8)*EXP(-MOD((97/80*(60/C5)),(60/C5))/(C8*C7))*60,-((C4*C7*(1-EXP(-(60/C5*C9)/(C8*C7))))/(C8*C7))*EXP(-(MOD((97/80*(60/C5)),(60/C5))-(60/C5*C9))/(C8*C7))*60)</f>
        <v/>
      </c>
      <c r="E125" s="28">
        <f>(IF(MOD((97/80*(60/C5)),(60/C5))&lt;(60/C5*C9),C4*C7*(1-EXP(-MOD((97/80*(60/C5)),(60/C5))/(C8*C7))),(C4*C7*(1-EXP(-(60/C5*C9)/(C8*C7))))*EXP(-(MOD((97/80*(60/C5)),(60/C5))-(60/C5*C9))/(C8*C7))))*1000</f>
        <v/>
      </c>
      <c r="F125" s="27">
        <f>IF(AND(MOD((97/80*(60/C5)),(60/C5))&lt;(60/C5*C9),MOD((97/80*(60/C5)),(60/C5))&lt;C12),-ABS(C11)*SIN(PI()*MOD((97/80*(60/C5)),(60/C5))/C12),0)</f>
        <v/>
      </c>
      <c r="G125" s="27">
        <f>C6*(C10/(C7+C10))+(E125/1000)/C10+F125</f>
        <v/>
      </c>
      <c r="H125" s="27">
        <f>C125-G125</f>
        <v/>
      </c>
      <c r="I125" s="27">
        <f>C6+(E125/1000)/C7</f>
        <v/>
      </c>
    </row>
    <row r="126" ht="12.95" customHeight="1" s="44">
      <c r="B126" s="25">
        <f>(98/80*(60/C5))</f>
        <v/>
      </c>
      <c r="C126" s="25">
        <f>IF(MOD((98/80*(60/C5)),(60/C5))&lt;(60/C5*C9),C6+C4,C6)</f>
        <v/>
      </c>
      <c r="D126" s="25">
        <f>IF(MOD((98/80*(60/C5)),(60/C5))&lt;(60/C5*C9),(C4/C8)*EXP(-MOD((98/80*(60/C5)),(60/C5))/(C8*C7))*60,-((C4*C7*(1-EXP(-(60/C5*C9)/(C8*C7))))/(C8*C7))*EXP(-(MOD((98/80*(60/C5)),(60/C5))-(60/C5*C9))/(C8*C7))*60)</f>
        <v/>
      </c>
      <c r="E126" s="26">
        <f>(IF(MOD((98/80*(60/C5)),(60/C5))&lt;(60/C5*C9),C4*C7*(1-EXP(-MOD((98/80*(60/C5)),(60/C5))/(C8*C7))),(C4*C7*(1-EXP(-(60/C5*C9)/(C8*C7))))*EXP(-(MOD((98/80*(60/C5)),(60/C5))-(60/C5*C9))/(C8*C7))))*1000</f>
        <v/>
      </c>
      <c r="F126" s="25">
        <f>IF(AND(MOD((98/80*(60/C5)),(60/C5))&lt;(60/C5*C9),MOD((98/80*(60/C5)),(60/C5))&lt;C12),-ABS(C11)*SIN(PI()*MOD((98/80*(60/C5)),(60/C5))/C12),0)</f>
        <v/>
      </c>
      <c r="G126" s="25">
        <f>C6*(C10/(C7+C10))+(E126/1000)/C10+F126</f>
        <v/>
      </c>
      <c r="H126" s="25">
        <f>C126-G126</f>
        <v/>
      </c>
      <c r="I126" s="25">
        <f>C6+(E126/1000)/C7</f>
        <v/>
      </c>
    </row>
    <row r="127" ht="12.95" customHeight="1" s="44">
      <c r="B127" s="27">
        <f>(99/80*(60/C5))</f>
        <v/>
      </c>
      <c r="C127" s="27">
        <f>IF(MOD((99/80*(60/C5)),(60/C5))&lt;(60/C5*C9),C6+C4,C6)</f>
        <v/>
      </c>
      <c r="D127" s="27">
        <f>IF(MOD((99/80*(60/C5)),(60/C5))&lt;(60/C5*C9),(C4/C8)*EXP(-MOD((99/80*(60/C5)),(60/C5))/(C8*C7))*60,-((C4*C7*(1-EXP(-(60/C5*C9)/(C8*C7))))/(C8*C7))*EXP(-(MOD((99/80*(60/C5)),(60/C5))-(60/C5*C9))/(C8*C7))*60)</f>
        <v/>
      </c>
      <c r="E127" s="28">
        <f>(IF(MOD((99/80*(60/C5)),(60/C5))&lt;(60/C5*C9),C4*C7*(1-EXP(-MOD((99/80*(60/C5)),(60/C5))/(C8*C7))),(C4*C7*(1-EXP(-(60/C5*C9)/(C8*C7))))*EXP(-(MOD((99/80*(60/C5)),(60/C5))-(60/C5*C9))/(C8*C7))))*1000</f>
        <v/>
      </c>
      <c r="F127" s="27">
        <f>IF(AND(MOD((99/80*(60/C5)),(60/C5))&lt;(60/C5*C9),MOD((99/80*(60/C5)),(60/C5))&lt;C12),-ABS(C11)*SIN(PI()*MOD((99/80*(60/C5)),(60/C5))/C12),0)</f>
        <v/>
      </c>
      <c r="G127" s="27">
        <f>C6*(C10/(C7+C10))+(E127/1000)/C10+F127</f>
        <v/>
      </c>
      <c r="H127" s="27">
        <f>C127-G127</f>
        <v/>
      </c>
      <c r="I127" s="27">
        <f>C6+(E127/1000)/C7</f>
        <v/>
      </c>
    </row>
    <row r="128" ht="12.95" customHeight="1" s="44">
      <c r="B128" s="25">
        <f>(100/80*(60/C5))</f>
        <v/>
      </c>
      <c r="C128" s="25">
        <f>IF(MOD((100/80*(60/C5)),(60/C5))&lt;(60/C5*C9),C6+C4,C6)</f>
        <v/>
      </c>
      <c r="D128" s="25">
        <f>IF(MOD((100/80*(60/C5)),(60/C5))&lt;(60/C5*C9),(C4/C8)*EXP(-MOD((100/80*(60/C5)),(60/C5))/(C8*C7))*60,-((C4*C7*(1-EXP(-(60/C5*C9)/(C8*C7))))/(C8*C7))*EXP(-(MOD((100/80*(60/C5)),(60/C5))-(60/C5*C9))/(C8*C7))*60)</f>
        <v/>
      </c>
      <c r="E128" s="26">
        <f>(IF(MOD((100/80*(60/C5)),(60/C5))&lt;(60/C5*C9),C4*C7*(1-EXP(-MOD((100/80*(60/C5)),(60/C5))/(C8*C7))),(C4*C7*(1-EXP(-(60/C5*C9)/(C8*C7))))*EXP(-(MOD((100/80*(60/C5)),(60/C5))-(60/C5*C9))/(C8*C7))))*1000</f>
        <v/>
      </c>
      <c r="F128" s="25">
        <f>IF(AND(MOD((100/80*(60/C5)),(60/C5))&lt;(60/C5*C9),MOD((100/80*(60/C5)),(60/C5))&lt;C12),-ABS(C11)*SIN(PI()*MOD((100/80*(60/C5)),(60/C5))/C12),0)</f>
        <v/>
      </c>
      <c r="G128" s="25">
        <f>C6*(C10/(C7+C10))+(E128/1000)/C10+F128</f>
        <v/>
      </c>
      <c r="H128" s="25">
        <f>C128-G128</f>
        <v/>
      </c>
      <c r="I128" s="25">
        <f>C6+(E128/1000)/C7</f>
        <v/>
      </c>
    </row>
    <row r="129" ht="12.95" customHeight="1" s="44">
      <c r="B129" s="27">
        <f>(101/80*(60/C5))</f>
        <v/>
      </c>
      <c r="C129" s="27">
        <f>IF(MOD((101/80*(60/C5)),(60/C5))&lt;(60/C5*C9),C6+C4,C6)</f>
        <v/>
      </c>
      <c r="D129" s="27">
        <f>IF(MOD((101/80*(60/C5)),(60/C5))&lt;(60/C5*C9),(C4/C8)*EXP(-MOD((101/80*(60/C5)),(60/C5))/(C8*C7))*60,-((C4*C7*(1-EXP(-(60/C5*C9)/(C8*C7))))/(C8*C7))*EXP(-(MOD((101/80*(60/C5)),(60/C5))-(60/C5*C9))/(C8*C7))*60)</f>
        <v/>
      </c>
      <c r="E129" s="28">
        <f>(IF(MOD((101/80*(60/C5)),(60/C5))&lt;(60/C5*C9),C4*C7*(1-EXP(-MOD((101/80*(60/C5)),(60/C5))/(C8*C7))),(C4*C7*(1-EXP(-(60/C5*C9)/(C8*C7))))*EXP(-(MOD((101/80*(60/C5)),(60/C5))-(60/C5*C9))/(C8*C7))))*1000</f>
        <v/>
      </c>
      <c r="F129" s="27">
        <f>IF(AND(MOD((101/80*(60/C5)),(60/C5))&lt;(60/C5*C9),MOD((101/80*(60/C5)),(60/C5))&lt;C12),-ABS(C11)*SIN(PI()*MOD((101/80*(60/C5)),(60/C5))/C12),0)</f>
        <v/>
      </c>
      <c r="G129" s="27">
        <f>C6*(C10/(C7+C10))+(E129/1000)/C10+F129</f>
        <v/>
      </c>
      <c r="H129" s="27">
        <f>C129-G129</f>
        <v/>
      </c>
      <c r="I129" s="27">
        <f>C6+(E129/1000)/C7</f>
        <v/>
      </c>
    </row>
    <row r="130" ht="12.95" customHeight="1" s="44">
      <c r="B130" s="25">
        <f>(102/80*(60/C5))</f>
        <v/>
      </c>
      <c r="C130" s="25">
        <f>IF(MOD((102/80*(60/C5)),(60/C5))&lt;(60/C5*C9),C6+C4,C6)</f>
        <v/>
      </c>
      <c r="D130" s="25">
        <f>IF(MOD((102/80*(60/C5)),(60/C5))&lt;(60/C5*C9),(C4/C8)*EXP(-MOD((102/80*(60/C5)),(60/C5))/(C8*C7))*60,-((C4*C7*(1-EXP(-(60/C5*C9)/(C8*C7))))/(C8*C7))*EXP(-(MOD((102/80*(60/C5)),(60/C5))-(60/C5*C9))/(C8*C7))*60)</f>
        <v/>
      </c>
      <c r="E130" s="26">
        <f>(IF(MOD((102/80*(60/C5)),(60/C5))&lt;(60/C5*C9),C4*C7*(1-EXP(-MOD((102/80*(60/C5)),(60/C5))/(C8*C7))),(C4*C7*(1-EXP(-(60/C5*C9)/(C8*C7))))*EXP(-(MOD((102/80*(60/C5)),(60/C5))-(60/C5*C9))/(C8*C7))))*1000</f>
        <v/>
      </c>
      <c r="F130" s="25">
        <f>IF(AND(MOD((102/80*(60/C5)),(60/C5))&lt;(60/C5*C9),MOD((102/80*(60/C5)),(60/C5))&lt;C12),-ABS(C11)*SIN(PI()*MOD((102/80*(60/C5)),(60/C5))/C12),0)</f>
        <v/>
      </c>
      <c r="G130" s="25">
        <f>C6*(C10/(C7+C10))+(E130/1000)/C10+F130</f>
        <v/>
      </c>
      <c r="H130" s="25">
        <f>C130-G130</f>
        <v/>
      </c>
      <c r="I130" s="25">
        <f>C6+(E130/1000)/C7</f>
        <v/>
      </c>
    </row>
    <row r="131" ht="12.95" customHeight="1" s="44">
      <c r="B131" s="27">
        <f>(103/80*(60/C5))</f>
        <v/>
      </c>
      <c r="C131" s="27">
        <f>IF(MOD((103/80*(60/C5)),(60/C5))&lt;(60/C5*C9),C6+C4,C6)</f>
        <v/>
      </c>
      <c r="D131" s="27">
        <f>IF(MOD((103/80*(60/C5)),(60/C5))&lt;(60/C5*C9),(C4/C8)*EXP(-MOD((103/80*(60/C5)),(60/C5))/(C8*C7))*60,-((C4*C7*(1-EXP(-(60/C5*C9)/(C8*C7))))/(C8*C7))*EXP(-(MOD((103/80*(60/C5)),(60/C5))-(60/C5*C9))/(C8*C7))*60)</f>
        <v/>
      </c>
      <c r="E131" s="28">
        <f>(IF(MOD((103/80*(60/C5)),(60/C5))&lt;(60/C5*C9),C4*C7*(1-EXP(-MOD((103/80*(60/C5)),(60/C5))/(C8*C7))),(C4*C7*(1-EXP(-(60/C5*C9)/(C8*C7))))*EXP(-(MOD((103/80*(60/C5)),(60/C5))-(60/C5*C9))/(C8*C7))))*1000</f>
        <v/>
      </c>
      <c r="F131" s="27">
        <f>IF(AND(MOD((103/80*(60/C5)),(60/C5))&lt;(60/C5*C9),MOD((103/80*(60/C5)),(60/C5))&lt;C12),-ABS(C11)*SIN(PI()*MOD((103/80*(60/C5)),(60/C5))/C12),0)</f>
        <v/>
      </c>
      <c r="G131" s="27">
        <f>C6*(C10/(C7+C10))+(E131/1000)/C10+F131</f>
        <v/>
      </c>
      <c r="H131" s="27">
        <f>C131-G131</f>
        <v/>
      </c>
      <c r="I131" s="27">
        <f>C6+(E131/1000)/C7</f>
        <v/>
      </c>
    </row>
    <row r="132" ht="12.95" customHeight="1" s="44">
      <c r="B132" s="25">
        <f>(104/80*(60/C5))</f>
        <v/>
      </c>
      <c r="C132" s="25">
        <f>IF(MOD((104/80*(60/C5)),(60/C5))&lt;(60/C5*C9),C6+C4,C6)</f>
        <v/>
      </c>
      <c r="D132" s="25">
        <f>IF(MOD((104/80*(60/C5)),(60/C5))&lt;(60/C5*C9),(C4/C8)*EXP(-MOD((104/80*(60/C5)),(60/C5))/(C8*C7))*60,-((C4*C7*(1-EXP(-(60/C5*C9)/(C8*C7))))/(C8*C7))*EXP(-(MOD((104/80*(60/C5)),(60/C5))-(60/C5*C9))/(C8*C7))*60)</f>
        <v/>
      </c>
      <c r="E132" s="26">
        <f>(IF(MOD((104/80*(60/C5)),(60/C5))&lt;(60/C5*C9),C4*C7*(1-EXP(-MOD((104/80*(60/C5)),(60/C5))/(C8*C7))),(C4*C7*(1-EXP(-(60/C5*C9)/(C8*C7))))*EXP(-(MOD((104/80*(60/C5)),(60/C5))-(60/C5*C9))/(C8*C7))))*1000</f>
        <v/>
      </c>
      <c r="F132" s="25">
        <f>IF(AND(MOD((104/80*(60/C5)),(60/C5))&lt;(60/C5*C9),MOD((104/80*(60/C5)),(60/C5))&lt;C12),-ABS(C11)*SIN(PI()*MOD((104/80*(60/C5)),(60/C5))/C12),0)</f>
        <v/>
      </c>
      <c r="G132" s="25">
        <f>C6*(C10/(C7+C10))+(E132/1000)/C10+F132</f>
        <v/>
      </c>
      <c r="H132" s="25">
        <f>C132-G132</f>
        <v/>
      </c>
      <c r="I132" s="25">
        <f>C6+(E132/1000)/C7</f>
        <v/>
      </c>
    </row>
    <row r="133" ht="12.95" customHeight="1" s="44">
      <c r="B133" s="27">
        <f>(105/80*(60/C5))</f>
        <v/>
      </c>
      <c r="C133" s="27">
        <f>IF(MOD((105/80*(60/C5)),(60/C5))&lt;(60/C5*C9),C6+C4,C6)</f>
        <v/>
      </c>
      <c r="D133" s="27">
        <f>IF(MOD((105/80*(60/C5)),(60/C5))&lt;(60/C5*C9),(C4/C8)*EXP(-MOD((105/80*(60/C5)),(60/C5))/(C8*C7))*60,-((C4*C7*(1-EXP(-(60/C5*C9)/(C8*C7))))/(C8*C7))*EXP(-(MOD((105/80*(60/C5)),(60/C5))-(60/C5*C9))/(C8*C7))*60)</f>
        <v/>
      </c>
      <c r="E133" s="28">
        <f>(IF(MOD((105/80*(60/C5)),(60/C5))&lt;(60/C5*C9),C4*C7*(1-EXP(-MOD((105/80*(60/C5)),(60/C5))/(C8*C7))),(C4*C7*(1-EXP(-(60/C5*C9)/(C8*C7))))*EXP(-(MOD((105/80*(60/C5)),(60/C5))-(60/C5*C9))/(C8*C7))))*1000</f>
        <v/>
      </c>
      <c r="F133" s="27">
        <f>IF(AND(MOD((105/80*(60/C5)),(60/C5))&lt;(60/C5*C9),MOD((105/80*(60/C5)),(60/C5))&lt;C12),-ABS(C11)*SIN(PI()*MOD((105/80*(60/C5)),(60/C5))/C12),0)</f>
        <v/>
      </c>
      <c r="G133" s="27">
        <f>C6*(C10/(C7+C10))+(E133/1000)/C10+F133</f>
        <v/>
      </c>
      <c r="H133" s="27">
        <f>C133-G133</f>
        <v/>
      </c>
      <c r="I133" s="27">
        <f>C6+(E133/1000)/C7</f>
        <v/>
      </c>
    </row>
    <row r="134" ht="12.95" customHeight="1" s="44">
      <c r="B134" s="25">
        <f>(106/80*(60/C5))</f>
        <v/>
      </c>
      <c r="C134" s="25">
        <f>IF(MOD((106/80*(60/C5)),(60/C5))&lt;(60/C5*C9),C6+C4,C6)</f>
        <v/>
      </c>
      <c r="D134" s="25">
        <f>IF(MOD((106/80*(60/C5)),(60/C5))&lt;(60/C5*C9),(C4/C8)*EXP(-MOD((106/80*(60/C5)),(60/C5))/(C8*C7))*60,-((C4*C7*(1-EXP(-(60/C5*C9)/(C8*C7))))/(C8*C7))*EXP(-(MOD((106/80*(60/C5)),(60/C5))-(60/C5*C9))/(C8*C7))*60)</f>
        <v/>
      </c>
      <c r="E134" s="26">
        <f>(IF(MOD((106/80*(60/C5)),(60/C5))&lt;(60/C5*C9),C4*C7*(1-EXP(-MOD((106/80*(60/C5)),(60/C5))/(C8*C7))),(C4*C7*(1-EXP(-(60/C5*C9)/(C8*C7))))*EXP(-(MOD((106/80*(60/C5)),(60/C5))-(60/C5*C9))/(C8*C7))))*1000</f>
        <v/>
      </c>
      <c r="F134" s="25">
        <f>IF(AND(MOD((106/80*(60/C5)),(60/C5))&lt;(60/C5*C9),MOD((106/80*(60/C5)),(60/C5))&lt;C12),-ABS(C11)*SIN(PI()*MOD((106/80*(60/C5)),(60/C5))/C12),0)</f>
        <v/>
      </c>
      <c r="G134" s="25">
        <f>C6*(C10/(C7+C10))+(E134/1000)/C10+F134</f>
        <v/>
      </c>
      <c r="H134" s="25">
        <f>C134-G134</f>
        <v/>
      </c>
      <c r="I134" s="25">
        <f>C6+(E134/1000)/C7</f>
        <v/>
      </c>
    </row>
    <row r="135" ht="12.95" customHeight="1" s="44">
      <c r="B135" s="27">
        <f>(107/80*(60/C5))</f>
        <v/>
      </c>
      <c r="C135" s="27">
        <f>IF(MOD((107/80*(60/C5)),(60/C5))&lt;(60/C5*C9),C6+C4,C6)</f>
        <v/>
      </c>
      <c r="D135" s="27">
        <f>IF(MOD((107/80*(60/C5)),(60/C5))&lt;(60/C5*C9),(C4/C8)*EXP(-MOD((107/80*(60/C5)),(60/C5))/(C8*C7))*60,-((C4*C7*(1-EXP(-(60/C5*C9)/(C8*C7))))/(C8*C7))*EXP(-(MOD((107/80*(60/C5)),(60/C5))-(60/C5*C9))/(C8*C7))*60)</f>
        <v/>
      </c>
      <c r="E135" s="28">
        <f>(IF(MOD((107/80*(60/C5)),(60/C5))&lt;(60/C5*C9),C4*C7*(1-EXP(-MOD((107/80*(60/C5)),(60/C5))/(C8*C7))),(C4*C7*(1-EXP(-(60/C5*C9)/(C8*C7))))*EXP(-(MOD((107/80*(60/C5)),(60/C5))-(60/C5*C9))/(C8*C7))))*1000</f>
        <v/>
      </c>
      <c r="F135" s="27">
        <f>IF(AND(MOD((107/80*(60/C5)),(60/C5))&lt;(60/C5*C9),MOD((107/80*(60/C5)),(60/C5))&lt;C12),-ABS(C11)*SIN(PI()*MOD((107/80*(60/C5)),(60/C5))/C12),0)</f>
        <v/>
      </c>
      <c r="G135" s="27">
        <f>C6*(C10/(C7+C10))+(E135/1000)/C10+F135</f>
        <v/>
      </c>
      <c r="H135" s="27">
        <f>C135-G135</f>
        <v/>
      </c>
      <c r="I135" s="27">
        <f>C6+(E135/1000)/C7</f>
        <v/>
      </c>
    </row>
    <row r="136" ht="12.95" customHeight="1" s="44">
      <c r="B136" s="25">
        <f>(108/80*(60/C5))</f>
        <v/>
      </c>
      <c r="C136" s="25">
        <f>IF(MOD((108/80*(60/C5)),(60/C5))&lt;(60/C5*C9),C6+C4,C6)</f>
        <v/>
      </c>
      <c r="D136" s="25">
        <f>IF(MOD((108/80*(60/C5)),(60/C5))&lt;(60/C5*C9),(C4/C8)*EXP(-MOD((108/80*(60/C5)),(60/C5))/(C8*C7))*60,-((C4*C7*(1-EXP(-(60/C5*C9)/(C8*C7))))/(C8*C7))*EXP(-(MOD((108/80*(60/C5)),(60/C5))-(60/C5*C9))/(C8*C7))*60)</f>
        <v/>
      </c>
      <c r="E136" s="26">
        <f>(IF(MOD((108/80*(60/C5)),(60/C5))&lt;(60/C5*C9),C4*C7*(1-EXP(-MOD((108/80*(60/C5)),(60/C5))/(C8*C7))),(C4*C7*(1-EXP(-(60/C5*C9)/(C8*C7))))*EXP(-(MOD((108/80*(60/C5)),(60/C5))-(60/C5*C9))/(C8*C7))))*1000</f>
        <v/>
      </c>
      <c r="F136" s="25">
        <f>IF(AND(MOD((108/80*(60/C5)),(60/C5))&lt;(60/C5*C9),MOD((108/80*(60/C5)),(60/C5))&lt;C12),-ABS(C11)*SIN(PI()*MOD((108/80*(60/C5)),(60/C5))/C12),0)</f>
        <v/>
      </c>
      <c r="G136" s="25">
        <f>C6*(C10/(C7+C10))+(E136/1000)/C10+F136</f>
        <v/>
      </c>
      <c r="H136" s="25">
        <f>C136-G136</f>
        <v/>
      </c>
      <c r="I136" s="25">
        <f>C6+(E136/1000)/C7</f>
        <v/>
      </c>
    </row>
    <row r="137" ht="12.95" customHeight="1" s="44">
      <c r="B137" s="27">
        <f>(109/80*(60/C5))</f>
        <v/>
      </c>
      <c r="C137" s="27">
        <f>IF(MOD((109/80*(60/C5)),(60/C5))&lt;(60/C5*C9),C6+C4,C6)</f>
        <v/>
      </c>
      <c r="D137" s="27">
        <f>IF(MOD((109/80*(60/C5)),(60/C5))&lt;(60/C5*C9),(C4/C8)*EXP(-MOD((109/80*(60/C5)),(60/C5))/(C8*C7))*60,-((C4*C7*(1-EXP(-(60/C5*C9)/(C8*C7))))/(C8*C7))*EXP(-(MOD((109/80*(60/C5)),(60/C5))-(60/C5*C9))/(C8*C7))*60)</f>
        <v/>
      </c>
      <c r="E137" s="28">
        <f>(IF(MOD((109/80*(60/C5)),(60/C5))&lt;(60/C5*C9),C4*C7*(1-EXP(-MOD((109/80*(60/C5)),(60/C5))/(C8*C7))),(C4*C7*(1-EXP(-(60/C5*C9)/(C8*C7))))*EXP(-(MOD((109/80*(60/C5)),(60/C5))-(60/C5*C9))/(C8*C7))))*1000</f>
        <v/>
      </c>
      <c r="F137" s="27">
        <f>IF(AND(MOD((109/80*(60/C5)),(60/C5))&lt;(60/C5*C9),MOD((109/80*(60/C5)),(60/C5))&lt;C12),-ABS(C11)*SIN(PI()*MOD((109/80*(60/C5)),(60/C5))/C12),0)</f>
        <v/>
      </c>
      <c r="G137" s="27">
        <f>C6*(C10/(C7+C10))+(E137/1000)/C10+F137</f>
        <v/>
      </c>
      <c r="H137" s="27">
        <f>C137-G137</f>
        <v/>
      </c>
      <c r="I137" s="27">
        <f>C6+(E137/1000)/C7</f>
        <v/>
      </c>
    </row>
    <row r="138" ht="12.95" customHeight="1" s="44">
      <c r="B138" s="25">
        <f>(110/80*(60/C5))</f>
        <v/>
      </c>
      <c r="C138" s="25">
        <f>IF(MOD((110/80*(60/C5)),(60/C5))&lt;(60/C5*C9),C6+C4,C6)</f>
        <v/>
      </c>
      <c r="D138" s="25">
        <f>IF(MOD((110/80*(60/C5)),(60/C5))&lt;(60/C5*C9),(C4/C8)*EXP(-MOD((110/80*(60/C5)),(60/C5))/(C8*C7))*60,-((C4*C7*(1-EXP(-(60/C5*C9)/(C8*C7))))/(C8*C7))*EXP(-(MOD((110/80*(60/C5)),(60/C5))-(60/C5*C9))/(C8*C7))*60)</f>
        <v/>
      </c>
      <c r="E138" s="26">
        <f>(IF(MOD((110/80*(60/C5)),(60/C5))&lt;(60/C5*C9),C4*C7*(1-EXP(-MOD((110/80*(60/C5)),(60/C5))/(C8*C7))),(C4*C7*(1-EXP(-(60/C5*C9)/(C8*C7))))*EXP(-(MOD((110/80*(60/C5)),(60/C5))-(60/C5*C9))/(C8*C7))))*1000</f>
        <v/>
      </c>
      <c r="F138" s="25">
        <f>IF(AND(MOD((110/80*(60/C5)),(60/C5))&lt;(60/C5*C9),MOD((110/80*(60/C5)),(60/C5))&lt;C12),-ABS(C11)*SIN(PI()*MOD((110/80*(60/C5)),(60/C5))/C12),0)</f>
        <v/>
      </c>
      <c r="G138" s="25">
        <f>C6*(C10/(C7+C10))+(E138/1000)/C10+F138</f>
        <v/>
      </c>
      <c r="H138" s="25">
        <f>C138-G138</f>
        <v/>
      </c>
      <c r="I138" s="25">
        <f>C6+(E138/1000)/C7</f>
        <v/>
      </c>
    </row>
    <row r="139" ht="12.95" customHeight="1" s="44">
      <c r="B139" s="27">
        <f>(111/80*(60/C5))</f>
        <v/>
      </c>
      <c r="C139" s="27">
        <f>IF(MOD((111/80*(60/C5)),(60/C5))&lt;(60/C5*C9),C6+C4,C6)</f>
        <v/>
      </c>
      <c r="D139" s="27">
        <f>IF(MOD((111/80*(60/C5)),(60/C5))&lt;(60/C5*C9),(C4/C8)*EXP(-MOD((111/80*(60/C5)),(60/C5))/(C8*C7))*60,-((C4*C7*(1-EXP(-(60/C5*C9)/(C8*C7))))/(C8*C7))*EXP(-(MOD((111/80*(60/C5)),(60/C5))-(60/C5*C9))/(C8*C7))*60)</f>
        <v/>
      </c>
      <c r="E139" s="28">
        <f>(IF(MOD((111/80*(60/C5)),(60/C5))&lt;(60/C5*C9),C4*C7*(1-EXP(-MOD((111/80*(60/C5)),(60/C5))/(C8*C7))),(C4*C7*(1-EXP(-(60/C5*C9)/(C8*C7))))*EXP(-(MOD((111/80*(60/C5)),(60/C5))-(60/C5*C9))/(C8*C7))))*1000</f>
        <v/>
      </c>
      <c r="F139" s="27">
        <f>IF(AND(MOD((111/80*(60/C5)),(60/C5))&lt;(60/C5*C9),MOD((111/80*(60/C5)),(60/C5))&lt;C12),-ABS(C11)*SIN(PI()*MOD((111/80*(60/C5)),(60/C5))/C12),0)</f>
        <v/>
      </c>
      <c r="G139" s="27">
        <f>C6*(C10/(C7+C10))+(E139/1000)/C10+F139</f>
        <v/>
      </c>
      <c r="H139" s="27">
        <f>C139-G139</f>
        <v/>
      </c>
      <c r="I139" s="27">
        <f>C6+(E139/1000)/C7</f>
        <v/>
      </c>
    </row>
    <row r="140" ht="12.95" customHeight="1" s="44">
      <c r="B140" s="25">
        <f>(112/80*(60/C5))</f>
        <v/>
      </c>
      <c r="C140" s="25">
        <f>IF(MOD((112/80*(60/C5)),(60/C5))&lt;(60/C5*C9),C6+C4,C6)</f>
        <v/>
      </c>
      <c r="D140" s="25">
        <f>IF(MOD((112/80*(60/C5)),(60/C5))&lt;(60/C5*C9),(C4/C8)*EXP(-MOD((112/80*(60/C5)),(60/C5))/(C8*C7))*60,-((C4*C7*(1-EXP(-(60/C5*C9)/(C8*C7))))/(C8*C7))*EXP(-(MOD((112/80*(60/C5)),(60/C5))-(60/C5*C9))/(C8*C7))*60)</f>
        <v/>
      </c>
      <c r="E140" s="26">
        <f>(IF(MOD((112/80*(60/C5)),(60/C5))&lt;(60/C5*C9),C4*C7*(1-EXP(-MOD((112/80*(60/C5)),(60/C5))/(C8*C7))),(C4*C7*(1-EXP(-(60/C5*C9)/(C8*C7))))*EXP(-(MOD((112/80*(60/C5)),(60/C5))-(60/C5*C9))/(C8*C7))))*1000</f>
        <v/>
      </c>
      <c r="F140" s="25">
        <f>IF(AND(MOD((112/80*(60/C5)),(60/C5))&lt;(60/C5*C9),MOD((112/80*(60/C5)),(60/C5))&lt;C12),-ABS(C11)*SIN(PI()*MOD((112/80*(60/C5)),(60/C5))/C12),0)</f>
        <v/>
      </c>
      <c r="G140" s="25">
        <f>C6*(C10/(C7+C10))+(E140/1000)/C10+F140</f>
        <v/>
      </c>
      <c r="H140" s="25">
        <f>C140-G140</f>
        <v/>
      </c>
      <c r="I140" s="25">
        <f>C6+(E140/1000)/C7</f>
        <v/>
      </c>
    </row>
    <row r="141" ht="12.95" customHeight="1" s="44">
      <c r="B141" s="27">
        <f>(113/80*(60/C5))</f>
        <v/>
      </c>
      <c r="C141" s="27">
        <f>IF(MOD((113/80*(60/C5)),(60/C5))&lt;(60/C5*C9),C6+C4,C6)</f>
        <v/>
      </c>
      <c r="D141" s="27">
        <f>IF(MOD((113/80*(60/C5)),(60/C5))&lt;(60/C5*C9),(C4/C8)*EXP(-MOD((113/80*(60/C5)),(60/C5))/(C8*C7))*60,-((C4*C7*(1-EXP(-(60/C5*C9)/(C8*C7))))/(C8*C7))*EXP(-(MOD((113/80*(60/C5)),(60/C5))-(60/C5*C9))/(C8*C7))*60)</f>
        <v/>
      </c>
      <c r="E141" s="28">
        <f>(IF(MOD((113/80*(60/C5)),(60/C5))&lt;(60/C5*C9),C4*C7*(1-EXP(-MOD((113/80*(60/C5)),(60/C5))/(C8*C7))),(C4*C7*(1-EXP(-(60/C5*C9)/(C8*C7))))*EXP(-(MOD((113/80*(60/C5)),(60/C5))-(60/C5*C9))/(C8*C7))))*1000</f>
        <v/>
      </c>
      <c r="F141" s="27">
        <f>IF(AND(MOD((113/80*(60/C5)),(60/C5))&lt;(60/C5*C9),MOD((113/80*(60/C5)),(60/C5))&lt;C12),-ABS(C11)*SIN(PI()*MOD((113/80*(60/C5)),(60/C5))/C12),0)</f>
        <v/>
      </c>
      <c r="G141" s="27">
        <f>C6*(C10/(C7+C10))+(E141/1000)/C10+F141</f>
        <v/>
      </c>
      <c r="H141" s="27">
        <f>C141-G141</f>
        <v/>
      </c>
      <c r="I141" s="27">
        <f>C6+(E141/1000)/C7</f>
        <v/>
      </c>
    </row>
    <row r="142" ht="12.95" customHeight="1" s="44">
      <c r="B142" s="25">
        <f>(114/80*(60/C5))</f>
        <v/>
      </c>
      <c r="C142" s="25">
        <f>IF(MOD((114/80*(60/C5)),(60/C5))&lt;(60/C5*C9),C6+C4,C6)</f>
        <v/>
      </c>
      <c r="D142" s="25">
        <f>IF(MOD((114/80*(60/C5)),(60/C5))&lt;(60/C5*C9),(C4/C8)*EXP(-MOD((114/80*(60/C5)),(60/C5))/(C8*C7))*60,-((C4*C7*(1-EXP(-(60/C5*C9)/(C8*C7))))/(C8*C7))*EXP(-(MOD((114/80*(60/C5)),(60/C5))-(60/C5*C9))/(C8*C7))*60)</f>
        <v/>
      </c>
      <c r="E142" s="26">
        <f>(IF(MOD((114/80*(60/C5)),(60/C5))&lt;(60/C5*C9),C4*C7*(1-EXP(-MOD((114/80*(60/C5)),(60/C5))/(C8*C7))),(C4*C7*(1-EXP(-(60/C5*C9)/(C8*C7))))*EXP(-(MOD((114/80*(60/C5)),(60/C5))-(60/C5*C9))/(C8*C7))))*1000</f>
        <v/>
      </c>
      <c r="F142" s="25">
        <f>IF(AND(MOD((114/80*(60/C5)),(60/C5))&lt;(60/C5*C9),MOD((114/80*(60/C5)),(60/C5))&lt;C12),-ABS(C11)*SIN(PI()*MOD((114/80*(60/C5)),(60/C5))/C12),0)</f>
        <v/>
      </c>
      <c r="G142" s="25">
        <f>C6*(C10/(C7+C10))+(E142/1000)/C10+F142</f>
        <v/>
      </c>
      <c r="H142" s="25">
        <f>C142-G142</f>
        <v/>
      </c>
      <c r="I142" s="25">
        <f>C6+(E142/1000)/C7</f>
        <v/>
      </c>
    </row>
    <row r="143" ht="12.95" customHeight="1" s="44">
      <c r="B143" s="27">
        <f>(115/80*(60/C5))</f>
        <v/>
      </c>
      <c r="C143" s="27">
        <f>IF(MOD((115/80*(60/C5)),(60/C5))&lt;(60/C5*C9),C6+C4,C6)</f>
        <v/>
      </c>
      <c r="D143" s="27">
        <f>IF(MOD((115/80*(60/C5)),(60/C5))&lt;(60/C5*C9),(C4/C8)*EXP(-MOD((115/80*(60/C5)),(60/C5))/(C8*C7))*60,-((C4*C7*(1-EXP(-(60/C5*C9)/(C8*C7))))/(C8*C7))*EXP(-(MOD((115/80*(60/C5)),(60/C5))-(60/C5*C9))/(C8*C7))*60)</f>
        <v/>
      </c>
      <c r="E143" s="28">
        <f>(IF(MOD((115/80*(60/C5)),(60/C5))&lt;(60/C5*C9),C4*C7*(1-EXP(-MOD((115/80*(60/C5)),(60/C5))/(C8*C7))),(C4*C7*(1-EXP(-(60/C5*C9)/(C8*C7))))*EXP(-(MOD((115/80*(60/C5)),(60/C5))-(60/C5*C9))/(C8*C7))))*1000</f>
        <v/>
      </c>
      <c r="F143" s="27">
        <f>IF(AND(MOD((115/80*(60/C5)),(60/C5))&lt;(60/C5*C9),MOD((115/80*(60/C5)),(60/C5))&lt;C12),-ABS(C11)*SIN(PI()*MOD((115/80*(60/C5)),(60/C5))/C12),0)</f>
        <v/>
      </c>
      <c r="G143" s="27">
        <f>C6*(C10/(C7+C10))+(E143/1000)/C10+F143</f>
        <v/>
      </c>
      <c r="H143" s="27">
        <f>C143-G143</f>
        <v/>
      </c>
      <c r="I143" s="27">
        <f>C6+(E143/1000)/C7</f>
        <v/>
      </c>
    </row>
    <row r="144" ht="12.95" customHeight="1" s="44">
      <c r="B144" s="25">
        <f>(116/80*(60/C5))</f>
        <v/>
      </c>
      <c r="C144" s="25">
        <f>IF(MOD((116/80*(60/C5)),(60/C5))&lt;(60/C5*C9),C6+C4,C6)</f>
        <v/>
      </c>
      <c r="D144" s="25">
        <f>IF(MOD((116/80*(60/C5)),(60/C5))&lt;(60/C5*C9),(C4/C8)*EXP(-MOD((116/80*(60/C5)),(60/C5))/(C8*C7))*60,-((C4*C7*(1-EXP(-(60/C5*C9)/(C8*C7))))/(C8*C7))*EXP(-(MOD((116/80*(60/C5)),(60/C5))-(60/C5*C9))/(C8*C7))*60)</f>
        <v/>
      </c>
      <c r="E144" s="26">
        <f>(IF(MOD((116/80*(60/C5)),(60/C5))&lt;(60/C5*C9),C4*C7*(1-EXP(-MOD((116/80*(60/C5)),(60/C5))/(C8*C7))),(C4*C7*(1-EXP(-(60/C5*C9)/(C8*C7))))*EXP(-(MOD((116/80*(60/C5)),(60/C5))-(60/C5*C9))/(C8*C7))))*1000</f>
        <v/>
      </c>
      <c r="F144" s="25">
        <f>IF(AND(MOD((116/80*(60/C5)),(60/C5))&lt;(60/C5*C9),MOD((116/80*(60/C5)),(60/C5))&lt;C12),-ABS(C11)*SIN(PI()*MOD((116/80*(60/C5)),(60/C5))/C12),0)</f>
        <v/>
      </c>
      <c r="G144" s="25">
        <f>C6*(C10/(C7+C10))+(E144/1000)/C10+F144</f>
        <v/>
      </c>
      <c r="H144" s="25">
        <f>C144-G144</f>
        <v/>
      </c>
      <c r="I144" s="25">
        <f>C6+(E144/1000)/C7</f>
        <v/>
      </c>
    </row>
    <row r="145" ht="12.95" customHeight="1" s="44">
      <c r="B145" s="27">
        <f>(117/80*(60/C5))</f>
        <v/>
      </c>
      <c r="C145" s="27">
        <f>IF(MOD((117/80*(60/C5)),(60/C5))&lt;(60/C5*C9),C6+C4,C6)</f>
        <v/>
      </c>
      <c r="D145" s="27">
        <f>IF(MOD((117/80*(60/C5)),(60/C5))&lt;(60/C5*C9),(C4/C8)*EXP(-MOD((117/80*(60/C5)),(60/C5))/(C8*C7))*60,-((C4*C7*(1-EXP(-(60/C5*C9)/(C8*C7))))/(C8*C7))*EXP(-(MOD((117/80*(60/C5)),(60/C5))-(60/C5*C9))/(C8*C7))*60)</f>
        <v/>
      </c>
      <c r="E145" s="28">
        <f>(IF(MOD((117/80*(60/C5)),(60/C5))&lt;(60/C5*C9),C4*C7*(1-EXP(-MOD((117/80*(60/C5)),(60/C5))/(C8*C7))),(C4*C7*(1-EXP(-(60/C5*C9)/(C8*C7))))*EXP(-(MOD((117/80*(60/C5)),(60/C5))-(60/C5*C9))/(C8*C7))))*1000</f>
        <v/>
      </c>
      <c r="F145" s="27">
        <f>IF(AND(MOD((117/80*(60/C5)),(60/C5))&lt;(60/C5*C9),MOD((117/80*(60/C5)),(60/C5))&lt;C12),-ABS(C11)*SIN(PI()*MOD((117/80*(60/C5)),(60/C5))/C12),0)</f>
        <v/>
      </c>
      <c r="G145" s="27">
        <f>C6*(C10/(C7+C10))+(E145/1000)/C10+F145</f>
        <v/>
      </c>
      <c r="H145" s="27">
        <f>C145-G145</f>
        <v/>
      </c>
      <c r="I145" s="27">
        <f>C6+(E145/1000)/C7</f>
        <v/>
      </c>
    </row>
    <row r="146" ht="12.95" customHeight="1" s="44">
      <c r="B146" s="25">
        <f>(118/80*(60/C5))</f>
        <v/>
      </c>
      <c r="C146" s="25">
        <f>IF(MOD((118/80*(60/C5)),(60/C5))&lt;(60/C5*C9),C6+C4,C6)</f>
        <v/>
      </c>
      <c r="D146" s="25">
        <f>IF(MOD((118/80*(60/C5)),(60/C5))&lt;(60/C5*C9),(C4/C8)*EXP(-MOD((118/80*(60/C5)),(60/C5))/(C8*C7))*60,-((C4*C7*(1-EXP(-(60/C5*C9)/(C8*C7))))/(C8*C7))*EXP(-(MOD((118/80*(60/C5)),(60/C5))-(60/C5*C9))/(C8*C7))*60)</f>
        <v/>
      </c>
      <c r="E146" s="26">
        <f>(IF(MOD((118/80*(60/C5)),(60/C5))&lt;(60/C5*C9),C4*C7*(1-EXP(-MOD((118/80*(60/C5)),(60/C5))/(C8*C7))),(C4*C7*(1-EXP(-(60/C5*C9)/(C8*C7))))*EXP(-(MOD((118/80*(60/C5)),(60/C5))-(60/C5*C9))/(C8*C7))))*1000</f>
        <v/>
      </c>
      <c r="F146" s="25">
        <f>IF(AND(MOD((118/80*(60/C5)),(60/C5))&lt;(60/C5*C9),MOD((118/80*(60/C5)),(60/C5))&lt;C12),-ABS(C11)*SIN(PI()*MOD((118/80*(60/C5)),(60/C5))/C12),0)</f>
        <v/>
      </c>
      <c r="G146" s="25">
        <f>C6*(C10/(C7+C10))+(E146/1000)/C10+F146</f>
        <v/>
      </c>
      <c r="H146" s="25">
        <f>C146-G146</f>
        <v/>
      </c>
      <c r="I146" s="25">
        <f>C6+(E146/1000)/C7</f>
        <v/>
      </c>
    </row>
    <row r="147" ht="12.95" customHeight="1" s="44">
      <c r="B147" s="27">
        <f>(119/80*(60/C5))</f>
        <v/>
      </c>
      <c r="C147" s="27">
        <f>IF(MOD((119/80*(60/C5)),(60/C5))&lt;(60/C5*C9),C6+C4,C6)</f>
        <v/>
      </c>
      <c r="D147" s="27">
        <f>IF(MOD((119/80*(60/C5)),(60/C5))&lt;(60/C5*C9),(C4/C8)*EXP(-MOD((119/80*(60/C5)),(60/C5))/(C8*C7))*60,-((C4*C7*(1-EXP(-(60/C5*C9)/(C8*C7))))/(C8*C7))*EXP(-(MOD((119/80*(60/C5)),(60/C5))-(60/C5*C9))/(C8*C7))*60)</f>
        <v/>
      </c>
      <c r="E147" s="28">
        <f>(IF(MOD((119/80*(60/C5)),(60/C5))&lt;(60/C5*C9),C4*C7*(1-EXP(-MOD((119/80*(60/C5)),(60/C5))/(C8*C7))),(C4*C7*(1-EXP(-(60/C5*C9)/(C8*C7))))*EXP(-(MOD((119/80*(60/C5)),(60/C5))-(60/C5*C9))/(C8*C7))))*1000</f>
        <v/>
      </c>
      <c r="F147" s="27">
        <f>IF(AND(MOD((119/80*(60/C5)),(60/C5))&lt;(60/C5*C9),MOD((119/80*(60/C5)),(60/C5))&lt;C12),-ABS(C11)*SIN(PI()*MOD((119/80*(60/C5)),(60/C5))/C12),0)</f>
        <v/>
      </c>
      <c r="G147" s="27">
        <f>C6*(C10/(C7+C10))+(E147/1000)/C10+F147</f>
        <v/>
      </c>
      <c r="H147" s="27">
        <f>C147-G147</f>
        <v/>
      </c>
      <c r="I147" s="27">
        <f>C6+(E147/1000)/C7</f>
        <v/>
      </c>
    </row>
    <row r="148" ht="12.95" customHeight="1" s="44">
      <c r="B148" s="25">
        <f>(120/80*(60/C5))</f>
        <v/>
      </c>
      <c r="C148" s="25">
        <f>IF(MOD((120/80*(60/C5)),(60/C5))&lt;(60/C5*C9),C6+C4,C6)</f>
        <v/>
      </c>
      <c r="D148" s="25">
        <f>IF(MOD((120/80*(60/C5)),(60/C5))&lt;(60/C5*C9),(C4/C8)*EXP(-MOD((120/80*(60/C5)),(60/C5))/(C8*C7))*60,-((C4*C7*(1-EXP(-(60/C5*C9)/(C8*C7))))/(C8*C7))*EXP(-(MOD((120/80*(60/C5)),(60/C5))-(60/C5*C9))/(C8*C7))*60)</f>
        <v/>
      </c>
      <c r="E148" s="26">
        <f>(IF(MOD((120/80*(60/C5)),(60/C5))&lt;(60/C5*C9),C4*C7*(1-EXP(-MOD((120/80*(60/C5)),(60/C5))/(C8*C7))),(C4*C7*(1-EXP(-(60/C5*C9)/(C8*C7))))*EXP(-(MOD((120/80*(60/C5)),(60/C5))-(60/C5*C9))/(C8*C7))))*1000</f>
        <v/>
      </c>
      <c r="F148" s="25">
        <f>IF(AND(MOD((120/80*(60/C5)),(60/C5))&lt;(60/C5*C9),MOD((120/80*(60/C5)),(60/C5))&lt;C12),-ABS(C11)*SIN(PI()*MOD((120/80*(60/C5)),(60/C5))/C12),0)</f>
        <v/>
      </c>
      <c r="G148" s="25">
        <f>C6*(C10/(C7+C10))+(E148/1000)/C10+F148</f>
        <v/>
      </c>
      <c r="H148" s="25">
        <f>C148-G148</f>
        <v/>
      </c>
      <c r="I148" s="25">
        <f>C6+(E148/1000)/C7</f>
        <v/>
      </c>
    </row>
    <row r="149" ht="12.95" customHeight="1" s="44">
      <c r="B149" s="27">
        <f>(121/80*(60/C5))</f>
        <v/>
      </c>
      <c r="C149" s="27">
        <f>IF(MOD((121/80*(60/C5)),(60/C5))&lt;(60/C5*C9),C6+C4,C6)</f>
        <v/>
      </c>
      <c r="D149" s="27">
        <f>IF(MOD((121/80*(60/C5)),(60/C5))&lt;(60/C5*C9),(C4/C8)*EXP(-MOD((121/80*(60/C5)),(60/C5))/(C8*C7))*60,-((C4*C7*(1-EXP(-(60/C5*C9)/(C8*C7))))/(C8*C7))*EXP(-(MOD((121/80*(60/C5)),(60/C5))-(60/C5*C9))/(C8*C7))*60)</f>
        <v/>
      </c>
      <c r="E149" s="28">
        <f>(IF(MOD((121/80*(60/C5)),(60/C5))&lt;(60/C5*C9),C4*C7*(1-EXP(-MOD((121/80*(60/C5)),(60/C5))/(C8*C7))),(C4*C7*(1-EXP(-(60/C5*C9)/(C8*C7))))*EXP(-(MOD((121/80*(60/C5)),(60/C5))-(60/C5*C9))/(C8*C7))))*1000</f>
        <v/>
      </c>
      <c r="F149" s="27">
        <f>IF(AND(MOD((121/80*(60/C5)),(60/C5))&lt;(60/C5*C9),MOD((121/80*(60/C5)),(60/C5))&lt;C12),-ABS(C11)*SIN(PI()*MOD((121/80*(60/C5)),(60/C5))/C12),0)</f>
        <v/>
      </c>
      <c r="G149" s="27">
        <f>C6*(C10/(C7+C10))+(E149/1000)/C10+F149</f>
        <v/>
      </c>
      <c r="H149" s="27">
        <f>C149-G149</f>
        <v/>
      </c>
      <c r="I149" s="27">
        <f>C6+(E149/1000)/C7</f>
        <v/>
      </c>
    </row>
    <row r="150" ht="12.95" customHeight="1" s="44">
      <c r="B150" s="25">
        <f>(122/80*(60/C5))</f>
        <v/>
      </c>
      <c r="C150" s="25">
        <f>IF(MOD((122/80*(60/C5)),(60/C5))&lt;(60/C5*C9),C6+C4,C6)</f>
        <v/>
      </c>
      <c r="D150" s="25">
        <f>IF(MOD((122/80*(60/C5)),(60/C5))&lt;(60/C5*C9),(C4/C8)*EXP(-MOD((122/80*(60/C5)),(60/C5))/(C8*C7))*60,-((C4*C7*(1-EXP(-(60/C5*C9)/(C8*C7))))/(C8*C7))*EXP(-(MOD((122/80*(60/C5)),(60/C5))-(60/C5*C9))/(C8*C7))*60)</f>
        <v/>
      </c>
      <c r="E150" s="26">
        <f>(IF(MOD((122/80*(60/C5)),(60/C5))&lt;(60/C5*C9),C4*C7*(1-EXP(-MOD((122/80*(60/C5)),(60/C5))/(C8*C7))),(C4*C7*(1-EXP(-(60/C5*C9)/(C8*C7))))*EXP(-(MOD((122/80*(60/C5)),(60/C5))-(60/C5*C9))/(C8*C7))))*1000</f>
        <v/>
      </c>
      <c r="F150" s="25">
        <f>IF(AND(MOD((122/80*(60/C5)),(60/C5))&lt;(60/C5*C9),MOD((122/80*(60/C5)),(60/C5))&lt;C12),-ABS(C11)*SIN(PI()*MOD((122/80*(60/C5)),(60/C5))/C12),0)</f>
        <v/>
      </c>
      <c r="G150" s="25">
        <f>C6*(C10/(C7+C10))+(E150/1000)/C10+F150</f>
        <v/>
      </c>
      <c r="H150" s="25">
        <f>C150-G150</f>
        <v/>
      </c>
      <c r="I150" s="25">
        <f>C6+(E150/1000)/C7</f>
        <v/>
      </c>
    </row>
    <row r="151" ht="12.95" customHeight="1" s="44">
      <c r="B151" s="27">
        <f>(123/80*(60/C5))</f>
        <v/>
      </c>
      <c r="C151" s="27">
        <f>IF(MOD((123/80*(60/C5)),(60/C5))&lt;(60/C5*C9),C6+C4,C6)</f>
        <v/>
      </c>
      <c r="D151" s="27">
        <f>IF(MOD((123/80*(60/C5)),(60/C5))&lt;(60/C5*C9),(C4/C8)*EXP(-MOD((123/80*(60/C5)),(60/C5))/(C8*C7))*60,-((C4*C7*(1-EXP(-(60/C5*C9)/(C8*C7))))/(C8*C7))*EXP(-(MOD((123/80*(60/C5)),(60/C5))-(60/C5*C9))/(C8*C7))*60)</f>
        <v/>
      </c>
      <c r="E151" s="28">
        <f>(IF(MOD((123/80*(60/C5)),(60/C5))&lt;(60/C5*C9),C4*C7*(1-EXP(-MOD((123/80*(60/C5)),(60/C5))/(C8*C7))),(C4*C7*(1-EXP(-(60/C5*C9)/(C8*C7))))*EXP(-(MOD((123/80*(60/C5)),(60/C5))-(60/C5*C9))/(C8*C7))))*1000</f>
        <v/>
      </c>
      <c r="F151" s="27">
        <f>IF(AND(MOD((123/80*(60/C5)),(60/C5))&lt;(60/C5*C9),MOD((123/80*(60/C5)),(60/C5))&lt;C12),-ABS(C11)*SIN(PI()*MOD((123/80*(60/C5)),(60/C5))/C12),0)</f>
        <v/>
      </c>
      <c r="G151" s="27">
        <f>C6*(C10/(C7+C10))+(E151/1000)/C10+F151</f>
        <v/>
      </c>
      <c r="H151" s="27">
        <f>C151-G151</f>
        <v/>
      </c>
      <c r="I151" s="27">
        <f>C6+(E151/1000)/C7</f>
        <v/>
      </c>
    </row>
    <row r="152" ht="12.95" customHeight="1" s="44">
      <c r="B152" s="25">
        <f>(124/80*(60/C5))</f>
        <v/>
      </c>
      <c r="C152" s="25">
        <f>IF(MOD((124/80*(60/C5)),(60/C5))&lt;(60/C5*C9),C6+C4,C6)</f>
        <v/>
      </c>
      <c r="D152" s="25">
        <f>IF(MOD((124/80*(60/C5)),(60/C5))&lt;(60/C5*C9),(C4/C8)*EXP(-MOD((124/80*(60/C5)),(60/C5))/(C8*C7))*60,-((C4*C7*(1-EXP(-(60/C5*C9)/(C8*C7))))/(C8*C7))*EXP(-(MOD((124/80*(60/C5)),(60/C5))-(60/C5*C9))/(C8*C7))*60)</f>
        <v/>
      </c>
      <c r="E152" s="26">
        <f>(IF(MOD((124/80*(60/C5)),(60/C5))&lt;(60/C5*C9),C4*C7*(1-EXP(-MOD((124/80*(60/C5)),(60/C5))/(C8*C7))),(C4*C7*(1-EXP(-(60/C5*C9)/(C8*C7))))*EXP(-(MOD((124/80*(60/C5)),(60/C5))-(60/C5*C9))/(C8*C7))))*1000</f>
        <v/>
      </c>
      <c r="F152" s="25">
        <f>IF(AND(MOD((124/80*(60/C5)),(60/C5))&lt;(60/C5*C9),MOD((124/80*(60/C5)),(60/C5))&lt;C12),-ABS(C11)*SIN(PI()*MOD((124/80*(60/C5)),(60/C5))/C12),0)</f>
        <v/>
      </c>
      <c r="G152" s="25">
        <f>C6*(C10/(C7+C10))+(E152/1000)/C10+F152</f>
        <v/>
      </c>
      <c r="H152" s="25">
        <f>C152-G152</f>
        <v/>
      </c>
      <c r="I152" s="25">
        <f>C6+(E152/1000)/C7</f>
        <v/>
      </c>
    </row>
    <row r="153" ht="12.95" customHeight="1" s="44">
      <c r="B153" s="27">
        <f>(125/80*(60/C5))</f>
        <v/>
      </c>
      <c r="C153" s="27">
        <f>IF(MOD((125/80*(60/C5)),(60/C5))&lt;(60/C5*C9),C6+C4,C6)</f>
        <v/>
      </c>
      <c r="D153" s="27">
        <f>IF(MOD((125/80*(60/C5)),(60/C5))&lt;(60/C5*C9),(C4/C8)*EXP(-MOD((125/80*(60/C5)),(60/C5))/(C8*C7))*60,-((C4*C7*(1-EXP(-(60/C5*C9)/(C8*C7))))/(C8*C7))*EXP(-(MOD((125/80*(60/C5)),(60/C5))-(60/C5*C9))/(C8*C7))*60)</f>
        <v/>
      </c>
      <c r="E153" s="28">
        <f>(IF(MOD((125/80*(60/C5)),(60/C5))&lt;(60/C5*C9),C4*C7*(1-EXP(-MOD((125/80*(60/C5)),(60/C5))/(C8*C7))),(C4*C7*(1-EXP(-(60/C5*C9)/(C8*C7))))*EXP(-(MOD((125/80*(60/C5)),(60/C5))-(60/C5*C9))/(C8*C7))))*1000</f>
        <v/>
      </c>
      <c r="F153" s="27">
        <f>IF(AND(MOD((125/80*(60/C5)),(60/C5))&lt;(60/C5*C9),MOD((125/80*(60/C5)),(60/C5))&lt;C12),-ABS(C11)*SIN(PI()*MOD((125/80*(60/C5)),(60/C5))/C12),0)</f>
        <v/>
      </c>
      <c r="G153" s="27">
        <f>C6*(C10/(C7+C10))+(E153/1000)/C10+F153</f>
        <v/>
      </c>
      <c r="H153" s="27">
        <f>C153-G153</f>
        <v/>
      </c>
      <c r="I153" s="27">
        <f>C6+(E153/1000)/C7</f>
        <v/>
      </c>
    </row>
    <row r="154" ht="12.95" customHeight="1" s="44">
      <c r="B154" s="25">
        <f>(126/80*(60/C5))</f>
        <v/>
      </c>
      <c r="C154" s="25">
        <f>IF(MOD((126/80*(60/C5)),(60/C5))&lt;(60/C5*C9),C6+C4,C6)</f>
        <v/>
      </c>
      <c r="D154" s="25">
        <f>IF(MOD((126/80*(60/C5)),(60/C5))&lt;(60/C5*C9),(C4/C8)*EXP(-MOD((126/80*(60/C5)),(60/C5))/(C8*C7))*60,-((C4*C7*(1-EXP(-(60/C5*C9)/(C8*C7))))/(C8*C7))*EXP(-(MOD((126/80*(60/C5)),(60/C5))-(60/C5*C9))/(C8*C7))*60)</f>
        <v/>
      </c>
      <c r="E154" s="26">
        <f>(IF(MOD((126/80*(60/C5)),(60/C5))&lt;(60/C5*C9),C4*C7*(1-EXP(-MOD((126/80*(60/C5)),(60/C5))/(C8*C7))),(C4*C7*(1-EXP(-(60/C5*C9)/(C8*C7))))*EXP(-(MOD((126/80*(60/C5)),(60/C5))-(60/C5*C9))/(C8*C7))))*1000</f>
        <v/>
      </c>
      <c r="F154" s="25">
        <f>IF(AND(MOD((126/80*(60/C5)),(60/C5))&lt;(60/C5*C9),MOD((126/80*(60/C5)),(60/C5))&lt;C12),-ABS(C11)*SIN(PI()*MOD((126/80*(60/C5)),(60/C5))/C12),0)</f>
        <v/>
      </c>
      <c r="G154" s="25">
        <f>C6*(C10/(C7+C10))+(E154/1000)/C10+F154</f>
        <v/>
      </c>
      <c r="H154" s="25">
        <f>C154-G154</f>
        <v/>
      </c>
      <c r="I154" s="25">
        <f>C6+(E154/1000)/C7</f>
        <v/>
      </c>
    </row>
    <row r="155" ht="12.95" customHeight="1" s="44">
      <c r="B155" s="27">
        <f>(127/80*(60/C5))</f>
        <v/>
      </c>
      <c r="C155" s="27">
        <f>IF(MOD((127/80*(60/C5)),(60/C5))&lt;(60/C5*C9),C6+C4,C6)</f>
        <v/>
      </c>
      <c r="D155" s="27">
        <f>IF(MOD((127/80*(60/C5)),(60/C5))&lt;(60/C5*C9),(C4/C8)*EXP(-MOD((127/80*(60/C5)),(60/C5))/(C8*C7))*60,-((C4*C7*(1-EXP(-(60/C5*C9)/(C8*C7))))/(C8*C7))*EXP(-(MOD((127/80*(60/C5)),(60/C5))-(60/C5*C9))/(C8*C7))*60)</f>
        <v/>
      </c>
      <c r="E155" s="28">
        <f>(IF(MOD((127/80*(60/C5)),(60/C5))&lt;(60/C5*C9),C4*C7*(1-EXP(-MOD((127/80*(60/C5)),(60/C5))/(C8*C7))),(C4*C7*(1-EXP(-(60/C5*C9)/(C8*C7))))*EXP(-(MOD((127/80*(60/C5)),(60/C5))-(60/C5*C9))/(C8*C7))))*1000</f>
        <v/>
      </c>
      <c r="F155" s="27">
        <f>IF(AND(MOD((127/80*(60/C5)),(60/C5))&lt;(60/C5*C9),MOD((127/80*(60/C5)),(60/C5))&lt;C12),-ABS(C11)*SIN(PI()*MOD((127/80*(60/C5)),(60/C5))/C12),0)</f>
        <v/>
      </c>
      <c r="G155" s="27">
        <f>C6*(C10/(C7+C10))+(E155/1000)/C10+F155</f>
        <v/>
      </c>
      <c r="H155" s="27">
        <f>C155-G155</f>
        <v/>
      </c>
      <c r="I155" s="27">
        <f>C6+(E155/1000)/C7</f>
        <v/>
      </c>
    </row>
    <row r="156" ht="12.95" customHeight="1" s="44">
      <c r="B156" s="25">
        <f>(128/80*(60/C5))</f>
        <v/>
      </c>
      <c r="C156" s="25">
        <f>IF(MOD((128/80*(60/C5)),(60/C5))&lt;(60/C5*C9),C6+C4,C6)</f>
        <v/>
      </c>
      <c r="D156" s="25">
        <f>IF(MOD((128/80*(60/C5)),(60/C5))&lt;(60/C5*C9),(C4/C8)*EXP(-MOD((128/80*(60/C5)),(60/C5))/(C8*C7))*60,-((C4*C7*(1-EXP(-(60/C5*C9)/(C8*C7))))/(C8*C7))*EXP(-(MOD((128/80*(60/C5)),(60/C5))-(60/C5*C9))/(C8*C7))*60)</f>
        <v/>
      </c>
      <c r="E156" s="26">
        <f>(IF(MOD((128/80*(60/C5)),(60/C5))&lt;(60/C5*C9),C4*C7*(1-EXP(-MOD((128/80*(60/C5)),(60/C5))/(C8*C7))),(C4*C7*(1-EXP(-(60/C5*C9)/(C8*C7))))*EXP(-(MOD((128/80*(60/C5)),(60/C5))-(60/C5*C9))/(C8*C7))))*1000</f>
        <v/>
      </c>
      <c r="F156" s="25">
        <f>IF(AND(MOD((128/80*(60/C5)),(60/C5))&lt;(60/C5*C9),MOD((128/80*(60/C5)),(60/C5))&lt;C12),-ABS(C11)*SIN(PI()*MOD((128/80*(60/C5)),(60/C5))/C12),0)</f>
        <v/>
      </c>
      <c r="G156" s="25">
        <f>C6*(C10/(C7+C10))+(E156/1000)/C10+F156</f>
        <v/>
      </c>
      <c r="H156" s="25">
        <f>C156-G156</f>
        <v/>
      </c>
      <c r="I156" s="25">
        <f>C6+(E156/1000)/C7</f>
        <v/>
      </c>
    </row>
    <row r="157" ht="12.95" customHeight="1" s="44">
      <c r="B157" s="27">
        <f>(129/80*(60/C5))</f>
        <v/>
      </c>
      <c r="C157" s="27">
        <f>IF(MOD((129/80*(60/C5)),(60/C5))&lt;(60/C5*C9),C6+C4,C6)</f>
        <v/>
      </c>
      <c r="D157" s="27">
        <f>IF(MOD((129/80*(60/C5)),(60/C5))&lt;(60/C5*C9),(C4/C8)*EXP(-MOD((129/80*(60/C5)),(60/C5))/(C8*C7))*60,-((C4*C7*(1-EXP(-(60/C5*C9)/(C8*C7))))/(C8*C7))*EXP(-(MOD((129/80*(60/C5)),(60/C5))-(60/C5*C9))/(C8*C7))*60)</f>
        <v/>
      </c>
      <c r="E157" s="28">
        <f>(IF(MOD((129/80*(60/C5)),(60/C5))&lt;(60/C5*C9),C4*C7*(1-EXP(-MOD((129/80*(60/C5)),(60/C5))/(C8*C7))),(C4*C7*(1-EXP(-(60/C5*C9)/(C8*C7))))*EXP(-(MOD((129/80*(60/C5)),(60/C5))-(60/C5*C9))/(C8*C7))))*1000</f>
        <v/>
      </c>
      <c r="F157" s="27">
        <f>IF(AND(MOD((129/80*(60/C5)),(60/C5))&lt;(60/C5*C9),MOD((129/80*(60/C5)),(60/C5))&lt;C12),-ABS(C11)*SIN(PI()*MOD((129/80*(60/C5)),(60/C5))/C12),0)</f>
        <v/>
      </c>
      <c r="G157" s="27">
        <f>C6*(C10/(C7+C10))+(E157/1000)/C10+F157</f>
        <v/>
      </c>
      <c r="H157" s="27">
        <f>C157-G157</f>
        <v/>
      </c>
      <c r="I157" s="27">
        <f>C6+(E157/1000)/C7</f>
        <v/>
      </c>
    </row>
    <row r="158" ht="12.95" customHeight="1" s="44">
      <c r="B158" s="25">
        <f>(130/80*(60/C5))</f>
        <v/>
      </c>
      <c r="C158" s="25">
        <f>IF(MOD((130/80*(60/C5)),(60/C5))&lt;(60/C5*C9),C6+C4,C6)</f>
        <v/>
      </c>
      <c r="D158" s="25">
        <f>IF(MOD((130/80*(60/C5)),(60/C5))&lt;(60/C5*C9),(C4/C8)*EXP(-MOD((130/80*(60/C5)),(60/C5))/(C8*C7))*60,-((C4*C7*(1-EXP(-(60/C5*C9)/(C8*C7))))/(C8*C7))*EXP(-(MOD((130/80*(60/C5)),(60/C5))-(60/C5*C9))/(C8*C7))*60)</f>
        <v/>
      </c>
      <c r="E158" s="26">
        <f>(IF(MOD((130/80*(60/C5)),(60/C5))&lt;(60/C5*C9),C4*C7*(1-EXP(-MOD((130/80*(60/C5)),(60/C5))/(C8*C7))),(C4*C7*(1-EXP(-(60/C5*C9)/(C8*C7))))*EXP(-(MOD((130/80*(60/C5)),(60/C5))-(60/C5*C9))/(C8*C7))))*1000</f>
        <v/>
      </c>
      <c r="F158" s="25">
        <f>IF(AND(MOD((130/80*(60/C5)),(60/C5))&lt;(60/C5*C9),MOD((130/80*(60/C5)),(60/C5))&lt;C12),-ABS(C11)*SIN(PI()*MOD((130/80*(60/C5)),(60/C5))/C12),0)</f>
        <v/>
      </c>
      <c r="G158" s="25">
        <f>C6*(C10/(C7+C10))+(E158/1000)/C10+F158</f>
        <v/>
      </c>
      <c r="H158" s="25">
        <f>C158-G158</f>
        <v/>
      </c>
      <c r="I158" s="25">
        <f>C6+(E158/1000)/C7</f>
        <v/>
      </c>
    </row>
    <row r="159" ht="12.95" customHeight="1" s="44">
      <c r="B159" s="27">
        <f>(131/80*(60/C5))</f>
        <v/>
      </c>
      <c r="C159" s="27">
        <f>IF(MOD((131/80*(60/C5)),(60/C5))&lt;(60/C5*C9),C6+C4,C6)</f>
        <v/>
      </c>
      <c r="D159" s="27">
        <f>IF(MOD((131/80*(60/C5)),(60/C5))&lt;(60/C5*C9),(C4/C8)*EXP(-MOD((131/80*(60/C5)),(60/C5))/(C8*C7))*60,-((C4*C7*(1-EXP(-(60/C5*C9)/(C8*C7))))/(C8*C7))*EXP(-(MOD((131/80*(60/C5)),(60/C5))-(60/C5*C9))/(C8*C7))*60)</f>
        <v/>
      </c>
      <c r="E159" s="28">
        <f>(IF(MOD((131/80*(60/C5)),(60/C5))&lt;(60/C5*C9),C4*C7*(1-EXP(-MOD((131/80*(60/C5)),(60/C5))/(C8*C7))),(C4*C7*(1-EXP(-(60/C5*C9)/(C8*C7))))*EXP(-(MOD((131/80*(60/C5)),(60/C5))-(60/C5*C9))/(C8*C7))))*1000</f>
        <v/>
      </c>
      <c r="F159" s="27">
        <f>IF(AND(MOD((131/80*(60/C5)),(60/C5))&lt;(60/C5*C9),MOD((131/80*(60/C5)),(60/C5))&lt;C12),-ABS(C11)*SIN(PI()*MOD((131/80*(60/C5)),(60/C5))/C12),0)</f>
        <v/>
      </c>
      <c r="G159" s="27">
        <f>C6*(C10/(C7+C10))+(E159/1000)/C10+F159</f>
        <v/>
      </c>
      <c r="H159" s="27">
        <f>C159-G159</f>
        <v/>
      </c>
      <c r="I159" s="27">
        <f>C6+(E159/1000)/C7</f>
        <v/>
      </c>
    </row>
    <row r="160" ht="12.95" customHeight="1" s="44">
      <c r="B160" s="25">
        <f>(132/80*(60/C5))</f>
        <v/>
      </c>
      <c r="C160" s="25">
        <f>IF(MOD((132/80*(60/C5)),(60/C5))&lt;(60/C5*C9),C6+C4,C6)</f>
        <v/>
      </c>
      <c r="D160" s="25">
        <f>IF(MOD((132/80*(60/C5)),(60/C5))&lt;(60/C5*C9),(C4/C8)*EXP(-MOD((132/80*(60/C5)),(60/C5))/(C8*C7))*60,-((C4*C7*(1-EXP(-(60/C5*C9)/(C8*C7))))/(C8*C7))*EXP(-(MOD((132/80*(60/C5)),(60/C5))-(60/C5*C9))/(C8*C7))*60)</f>
        <v/>
      </c>
      <c r="E160" s="26">
        <f>(IF(MOD((132/80*(60/C5)),(60/C5))&lt;(60/C5*C9),C4*C7*(1-EXP(-MOD((132/80*(60/C5)),(60/C5))/(C8*C7))),(C4*C7*(1-EXP(-(60/C5*C9)/(C8*C7))))*EXP(-(MOD((132/80*(60/C5)),(60/C5))-(60/C5*C9))/(C8*C7))))*1000</f>
        <v/>
      </c>
      <c r="F160" s="25">
        <f>IF(AND(MOD((132/80*(60/C5)),(60/C5))&lt;(60/C5*C9),MOD((132/80*(60/C5)),(60/C5))&lt;C12),-ABS(C11)*SIN(PI()*MOD((132/80*(60/C5)),(60/C5))/C12),0)</f>
        <v/>
      </c>
      <c r="G160" s="25">
        <f>C6*(C10/(C7+C10))+(E160/1000)/C10+F160</f>
        <v/>
      </c>
      <c r="H160" s="25">
        <f>C160-G160</f>
        <v/>
      </c>
      <c r="I160" s="25">
        <f>C6+(E160/1000)/C7</f>
        <v/>
      </c>
    </row>
    <row r="161" ht="12.95" customHeight="1" s="44">
      <c r="B161" s="27">
        <f>(133/80*(60/C5))</f>
        <v/>
      </c>
      <c r="C161" s="27">
        <f>IF(MOD((133/80*(60/C5)),(60/C5))&lt;(60/C5*C9),C6+C4,C6)</f>
        <v/>
      </c>
      <c r="D161" s="27">
        <f>IF(MOD((133/80*(60/C5)),(60/C5))&lt;(60/C5*C9),(C4/C8)*EXP(-MOD((133/80*(60/C5)),(60/C5))/(C8*C7))*60,-((C4*C7*(1-EXP(-(60/C5*C9)/(C8*C7))))/(C8*C7))*EXP(-(MOD((133/80*(60/C5)),(60/C5))-(60/C5*C9))/(C8*C7))*60)</f>
        <v/>
      </c>
      <c r="E161" s="28">
        <f>(IF(MOD((133/80*(60/C5)),(60/C5))&lt;(60/C5*C9),C4*C7*(1-EXP(-MOD((133/80*(60/C5)),(60/C5))/(C8*C7))),(C4*C7*(1-EXP(-(60/C5*C9)/(C8*C7))))*EXP(-(MOD((133/80*(60/C5)),(60/C5))-(60/C5*C9))/(C8*C7))))*1000</f>
        <v/>
      </c>
      <c r="F161" s="27">
        <f>IF(AND(MOD((133/80*(60/C5)),(60/C5))&lt;(60/C5*C9),MOD((133/80*(60/C5)),(60/C5))&lt;C12),-ABS(C11)*SIN(PI()*MOD((133/80*(60/C5)),(60/C5))/C12),0)</f>
        <v/>
      </c>
      <c r="G161" s="27">
        <f>C6*(C10/(C7+C10))+(E161/1000)/C10+F161</f>
        <v/>
      </c>
      <c r="H161" s="27">
        <f>C161-G161</f>
        <v/>
      </c>
      <c r="I161" s="27">
        <f>C6+(E161/1000)/C7</f>
        <v/>
      </c>
    </row>
    <row r="162" ht="12.95" customHeight="1" s="44">
      <c r="B162" s="25">
        <f>(134/80*(60/C5))</f>
        <v/>
      </c>
      <c r="C162" s="25">
        <f>IF(MOD((134/80*(60/C5)),(60/C5))&lt;(60/C5*C9),C6+C4,C6)</f>
        <v/>
      </c>
      <c r="D162" s="25">
        <f>IF(MOD((134/80*(60/C5)),(60/C5))&lt;(60/C5*C9),(C4/C8)*EXP(-MOD((134/80*(60/C5)),(60/C5))/(C8*C7))*60,-((C4*C7*(1-EXP(-(60/C5*C9)/(C8*C7))))/(C8*C7))*EXP(-(MOD((134/80*(60/C5)),(60/C5))-(60/C5*C9))/(C8*C7))*60)</f>
        <v/>
      </c>
      <c r="E162" s="26">
        <f>(IF(MOD((134/80*(60/C5)),(60/C5))&lt;(60/C5*C9),C4*C7*(1-EXP(-MOD((134/80*(60/C5)),(60/C5))/(C8*C7))),(C4*C7*(1-EXP(-(60/C5*C9)/(C8*C7))))*EXP(-(MOD((134/80*(60/C5)),(60/C5))-(60/C5*C9))/(C8*C7))))*1000</f>
        <v/>
      </c>
      <c r="F162" s="25">
        <f>IF(AND(MOD((134/80*(60/C5)),(60/C5))&lt;(60/C5*C9),MOD((134/80*(60/C5)),(60/C5))&lt;C12),-ABS(C11)*SIN(PI()*MOD((134/80*(60/C5)),(60/C5))/C12),0)</f>
        <v/>
      </c>
      <c r="G162" s="25">
        <f>C6*(C10/(C7+C10))+(E162/1000)/C10+F162</f>
        <v/>
      </c>
      <c r="H162" s="25">
        <f>C162-G162</f>
        <v/>
      </c>
      <c r="I162" s="25">
        <f>C6+(E162/1000)/C7</f>
        <v/>
      </c>
    </row>
    <row r="163" ht="12.95" customHeight="1" s="44">
      <c r="B163" s="27">
        <f>(135/80*(60/C5))</f>
        <v/>
      </c>
      <c r="C163" s="27">
        <f>IF(MOD((135/80*(60/C5)),(60/C5))&lt;(60/C5*C9),C6+C4,C6)</f>
        <v/>
      </c>
      <c r="D163" s="27">
        <f>IF(MOD((135/80*(60/C5)),(60/C5))&lt;(60/C5*C9),(C4/C8)*EXP(-MOD((135/80*(60/C5)),(60/C5))/(C8*C7))*60,-((C4*C7*(1-EXP(-(60/C5*C9)/(C8*C7))))/(C8*C7))*EXP(-(MOD((135/80*(60/C5)),(60/C5))-(60/C5*C9))/(C8*C7))*60)</f>
        <v/>
      </c>
      <c r="E163" s="28">
        <f>(IF(MOD((135/80*(60/C5)),(60/C5))&lt;(60/C5*C9),C4*C7*(1-EXP(-MOD((135/80*(60/C5)),(60/C5))/(C8*C7))),(C4*C7*(1-EXP(-(60/C5*C9)/(C8*C7))))*EXP(-(MOD((135/80*(60/C5)),(60/C5))-(60/C5*C9))/(C8*C7))))*1000</f>
        <v/>
      </c>
      <c r="F163" s="27">
        <f>IF(AND(MOD((135/80*(60/C5)),(60/C5))&lt;(60/C5*C9),MOD((135/80*(60/C5)),(60/C5))&lt;C12),-ABS(C11)*SIN(PI()*MOD((135/80*(60/C5)),(60/C5))/C12),0)</f>
        <v/>
      </c>
      <c r="G163" s="27">
        <f>C6*(C10/(C7+C10))+(E163/1000)/C10+F163</f>
        <v/>
      </c>
      <c r="H163" s="27">
        <f>C163-G163</f>
        <v/>
      </c>
      <c r="I163" s="27">
        <f>C6+(E163/1000)/C7</f>
        <v/>
      </c>
    </row>
    <row r="164" ht="12.95" customHeight="1" s="44">
      <c r="B164" s="25">
        <f>(136/80*(60/C5))</f>
        <v/>
      </c>
      <c r="C164" s="25">
        <f>IF(MOD((136/80*(60/C5)),(60/C5))&lt;(60/C5*C9),C6+C4,C6)</f>
        <v/>
      </c>
      <c r="D164" s="25">
        <f>IF(MOD((136/80*(60/C5)),(60/C5))&lt;(60/C5*C9),(C4/C8)*EXP(-MOD((136/80*(60/C5)),(60/C5))/(C8*C7))*60,-((C4*C7*(1-EXP(-(60/C5*C9)/(C8*C7))))/(C8*C7))*EXP(-(MOD((136/80*(60/C5)),(60/C5))-(60/C5*C9))/(C8*C7))*60)</f>
        <v/>
      </c>
      <c r="E164" s="26">
        <f>(IF(MOD((136/80*(60/C5)),(60/C5))&lt;(60/C5*C9),C4*C7*(1-EXP(-MOD((136/80*(60/C5)),(60/C5))/(C8*C7))),(C4*C7*(1-EXP(-(60/C5*C9)/(C8*C7))))*EXP(-(MOD((136/80*(60/C5)),(60/C5))-(60/C5*C9))/(C8*C7))))*1000</f>
        <v/>
      </c>
      <c r="F164" s="25">
        <f>IF(AND(MOD((136/80*(60/C5)),(60/C5))&lt;(60/C5*C9),MOD((136/80*(60/C5)),(60/C5))&lt;C12),-ABS(C11)*SIN(PI()*MOD((136/80*(60/C5)),(60/C5))/C12),0)</f>
        <v/>
      </c>
      <c r="G164" s="25">
        <f>C6*(C10/(C7+C10))+(E164/1000)/C10+F164</f>
        <v/>
      </c>
      <c r="H164" s="25">
        <f>C164-G164</f>
        <v/>
      </c>
      <c r="I164" s="25">
        <f>C6+(E164/1000)/C7</f>
        <v/>
      </c>
    </row>
    <row r="165" ht="12.95" customHeight="1" s="44">
      <c r="B165" s="27">
        <f>(137/80*(60/C5))</f>
        <v/>
      </c>
      <c r="C165" s="27">
        <f>IF(MOD((137/80*(60/C5)),(60/C5))&lt;(60/C5*C9),C6+C4,C6)</f>
        <v/>
      </c>
      <c r="D165" s="27">
        <f>IF(MOD((137/80*(60/C5)),(60/C5))&lt;(60/C5*C9),(C4/C8)*EXP(-MOD((137/80*(60/C5)),(60/C5))/(C8*C7))*60,-((C4*C7*(1-EXP(-(60/C5*C9)/(C8*C7))))/(C8*C7))*EXP(-(MOD((137/80*(60/C5)),(60/C5))-(60/C5*C9))/(C8*C7))*60)</f>
        <v/>
      </c>
      <c r="E165" s="28">
        <f>(IF(MOD((137/80*(60/C5)),(60/C5))&lt;(60/C5*C9),C4*C7*(1-EXP(-MOD((137/80*(60/C5)),(60/C5))/(C8*C7))),(C4*C7*(1-EXP(-(60/C5*C9)/(C8*C7))))*EXP(-(MOD((137/80*(60/C5)),(60/C5))-(60/C5*C9))/(C8*C7))))*1000</f>
        <v/>
      </c>
      <c r="F165" s="27">
        <f>IF(AND(MOD((137/80*(60/C5)),(60/C5))&lt;(60/C5*C9),MOD((137/80*(60/C5)),(60/C5))&lt;C12),-ABS(C11)*SIN(PI()*MOD((137/80*(60/C5)),(60/C5))/C12),0)</f>
        <v/>
      </c>
      <c r="G165" s="27">
        <f>C6*(C10/(C7+C10))+(E165/1000)/C10+F165</f>
        <v/>
      </c>
      <c r="H165" s="27">
        <f>C165-G165</f>
        <v/>
      </c>
      <c r="I165" s="27">
        <f>C6+(E165/1000)/C7</f>
        <v/>
      </c>
    </row>
    <row r="166" ht="12.95" customHeight="1" s="44">
      <c r="B166" s="25">
        <f>(138/80*(60/C5))</f>
        <v/>
      </c>
      <c r="C166" s="25">
        <f>IF(MOD((138/80*(60/C5)),(60/C5))&lt;(60/C5*C9),C6+C4,C6)</f>
        <v/>
      </c>
      <c r="D166" s="25">
        <f>IF(MOD((138/80*(60/C5)),(60/C5))&lt;(60/C5*C9),(C4/C8)*EXP(-MOD((138/80*(60/C5)),(60/C5))/(C8*C7))*60,-((C4*C7*(1-EXP(-(60/C5*C9)/(C8*C7))))/(C8*C7))*EXP(-(MOD((138/80*(60/C5)),(60/C5))-(60/C5*C9))/(C8*C7))*60)</f>
        <v/>
      </c>
      <c r="E166" s="26">
        <f>(IF(MOD((138/80*(60/C5)),(60/C5))&lt;(60/C5*C9),C4*C7*(1-EXP(-MOD((138/80*(60/C5)),(60/C5))/(C8*C7))),(C4*C7*(1-EXP(-(60/C5*C9)/(C8*C7))))*EXP(-(MOD((138/80*(60/C5)),(60/C5))-(60/C5*C9))/(C8*C7))))*1000</f>
        <v/>
      </c>
      <c r="F166" s="25">
        <f>IF(AND(MOD((138/80*(60/C5)),(60/C5))&lt;(60/C5*C9),MOD((138/80*(60/C5)),(60/C5))&lt;C12),-ABS(C11)*SIN(PI()*MOD((138/80*(60/C5)),(60/C5))/C12),0)</f>
        <v/>
      </c>
      <c r="G166" s="25">
        <f>C6*(C10/(C7+C10))+(E166/1000)/C10+F166</f>
        <v/>
      </c>
      <c r="H166" s="25">
        <f>C166-G166</f>
        <v/>
      </c>
      <c r="I166" s="25">
        <f>C6+(E166/1000)/C7</f>
        <v/>
      </c>
    </row>
    <row r="167" ht="12.95" customHeight="1" s="44">
      <c r="B167" s="27">
        <f>(139/80*(60/C5))</f>
        <v/>
      </c>
      <c r="C167" s="27">
        <f>IF(MOD((139/80*(60/C5)),(60/C5))&lt;(60/C5*C9),C6+C4,C6)</f>
        <v/>
      </c>
      <c r="D167" s="27">
        <f>IF(MOD((139/80*(60/C5)),(60/C5))&lt;(60/C5*C9),(C4/C8)*EXP(-MOD((139/80*(60/C5)),(60/C5))/(C8*C7))*60,-((C4*C7*(1-EXP(-(60/C5*C9)/(C8*C7))))/(C8*C7))*EXP(-(MOD((139/80*(60/C5)),(60/C5))-(60/C5*C9))/(C8*C7))*60)</f>
        <v/>
      </c>
      <c r="E167" s="28">
        <f>(IF(MOD((139/80*(60/C5)),(60/C5))&lt;(60/C5*C9),C4*C7*(1-EXP(-MOD((139/80*(60/C5)),(60/C5))/(C8*C7))),(C4*C7*(1-EXP(-(60/C5*C9)/(C8*C7))))*EXP(-(MOD((139/80*(60/C5)),(60/C5))-(60/C5*C9))/(C8*C7))))*1000</f>
        <v/>
      </c>
      <c r="F167" s="27">
        <f>IF(AND(MOD((139/80*(60/C5)),(60/C5))&lt;(60/C5*C9),MOD((139/80*(60/C5)),(60/C5))&lt;C12),-ABS(C11)*SIN(PI()*MOD((139/80*(60/C5)),(60/C5))/C12),0)</f>
        <v/>
      </c>
      <c r="G167" s="27">
        <f>C6*(C10/(C7+C10))+(E167/1000)/C10+F167</f>
        <v/>
      </c>
      <c r="H167" s="27">
        <f>C167-G167</f>
        <v/>
      </c>
      <c r="I167" s="27">
        <f>C6+(E167/1000)/C7</f>
        <v/>
      </c>
    </row>
    <row r="168" ht="12.95" customHeight="1" s="44">
      <c r="B168" s="25">
        <f>(140/80*(60/C5))</f>
        <v/>
      </c>
      <c r="C168" s="25">
        <f>IF(MOD((140/80*(60/C5)),(60/C5))&lt;(60/C5*C9),C6+C4,C6)</f>
        <v/>
      </c>
      <c r="D168" s="25">
        <f>IF(MOD((140/80*(60/C5)),(60/C5))&lt;(60/C5*C9),(C4/C8)*EXP(-MOD((140/80*(60/C5)),(60/C5))/(C8*C7))*60,-((C4*C7*(1-EXP(-(60/C5*C9)/(C8*C7))))/(C8*C7))*EXP(-(MOD((140/80*(60/C5)),(60/C5))-(60/C5*C9))/(C8*C7))*60)</f>
        <v/>
      </c>
      <c r="E168" s="26">
        <f>(IF(MOD((140/80*(60/C5)),(60/C5))&lt;(60/C5*C9),C4*C7*(1-EXP(-MOD((140/80*(60/C5)),(60/C5))/(C8*C7))),(C4*C7*(1-EXP(-(60/C5*C9)/(C8*C7))))*EXP(-(MOD((140/80*(60/C5)),(60/C5))-(60/C5*C9))/(C8*C7))))*1000</f>
        <v/>
      </c>
      <c r="F168" s="25">
        <f>IF(AND(MOD((140/80*(60/C5)),(60/C5))&lt;(60/C5*C9),MOD((140/80*(60/C5)),(60/C5))&lt;C12),-ABS(C11)*SIN(PI()*MOD((140/80*(60/C5)),(60/C5))/C12),0)</f>
        <v/>
      </c>
      <c r="G168" s="25">
        <f>C6*(C10/(C7+C10))+(E168/1000)/C10+F168</f>
        <v/>
      </c>
      <c r="H168" s="25">
        <f>C168-G168</f>
        <v/>
      </c>
      <c r="I168" s="25">
        <f>C6+(E168/1000)/C7</f>
        <v/>
      </c>
    </row>
    <row r="169" ht="12.95" customHeight="1" s="44">
      <c r="B169" s="27">
        <f>(141/80*(60/C5))</f>
        <v/>
      </c>
      <c r="C169" s="27">
        <f>IF(MOD((141/80*(60/C5)),(60/C5))&lt;(60/C5*C9),C6+C4,C6)</f>
        <v/>
      </c>
      <c r="D169" s="27">
        <f>IF(MOD((141/80*(60/C5)),(60/C5))&lt;(60/C5*C9),(C4/C8)*EXP(-MOD((141/80*(60/C5)),(60/C5))/(C8*C7))*60,-((C4*C7*(1-EXP(-(60/C5*C9)/(C8*C7))))/(C8*C7))*EXP(-(MOD((141/80*(60/C5)),(60/C5))-(60/C5*C9))/(C8*C7))*60)</f>
        <v/>
      </c>
      <c r="E169" s="28">
        <f>(IF(MOD((141/80*(60/C5)),(60/C5))&lt;(60/C5*C9),C4*C7*(1-EXP(-MOD((141/80*(60/C5)),(60/C5))/(C8*C7))),(C4*C7*(1-EXP(-(60/C5*C9)/(C8*C7))))*EXP(-(MOD((141/80*(60/C5)),(60/C5))-(60/C5*C9))/(C8*C7))))*1000</f>
        <v/>
      </c>
      <c r="F169" s="27">
        <f>IF(AND(MOD((141/80*(60/C5)),(60/C5))&lt;(60/C5*C9),MOD((141/80*(60/C5)),(60/C5))&lt;C12),-ABS(C11)*SIN(PI()*MOD((141/80*(60/C5)),(60/C5))/C12),0)</f>
        <v/>
      </c>
      <c r="G169" s="27">
        <f>C6*(C10/(C7+C10))+(E169/1000)/C10+F169</f>
        <v/>
      </c>
      <c r="H169" s="27">
        <f>C169-G169</f>
        <v/>
      </c>
      <c r="I169" s="27">
        <f>C6+(E169/1000)/C7</f>
        <v/>
      </c>
    </row>
    <row r="170" ht="12.95" customHeight="1" s="44">
      <c r="B170" s="25">
        <f>(142/80*(60/C5))</f>
        <v/>
      </c>
      <c r="C170" s="25">
        <f>IF(MOD((142/80*(60/C5)),(60/C5))&lt;(60/C5*C9),C6+C4,C6)</f>
        <v/>
      </c>
      <c r="D170" s="25">
        <f>IF(MOD((142/80*(60/C5)),(60/C5))&lt;(60/C5*C9),(C4/C8)*EXP(-MOD((142/80*(60/C5)),(60/C5))/(C8*C7))*60,-((C4*C7*(1-EXP(-(60/C5*C9)/(C8*C7))))/(C8*C7))*EXP(-(MOD((142/80*(60/C5)),(60/C5))-(60/C5*C9))/(C8*C7))*60)</f>
        <v/>
      </c>
      <c r="E170" s="26">
        <f>(IF(MOD((142/80*(60/C5)),(60/C5))&lt;(60/C5*C9),C4*C7*(1-EXP(-MOD((142/80*(60/C5)),(60/C5))/(C8*C7))),(C4*C7*(1-EXP(-(60/C5*C9)/(C8*C7))))*EXP(-(MOD((142/80*(60/C5)),(60/C5))-(60/C5*C9))/(C8*C7))))*1000</f>
        <v/>
      </c>
      <c r="F170" s="25">
        <f>IF(AND(MOD((142/80*(60/C5)),(60/C5))&lt;(60/C5*C9),MOD((142/80*(60/C5)),(60/C5))&lt;C12),-ABS(C11)*SIN(PI()*MOD((142/80*(60/C5)),(60/C5))/C12),0)</f>
        <v/>
      </c>
      <c r="G170" s="25">
        <f>C6*(C10/(C7+C10))+(E170/1000)/C10+F170</f>
        <v/>
      </c>
      <c r="H170" s="25">
        <f>C170-G170</f>
        <v/>
      </c>
      <c r="I170" s="25">
        <f>C6+(E170/1000)/C7</f>
        <v/>
      </c>
    </row>
    <row r="171" ht="12.95" customHeight="1" s="44">
      <c r="B171" s="27">
        <f>(143/80*(60/C5))</f>
        <v/>
      </c>
      <c r="C171" s="27">
        <f>IF(MOD((143/80*(60/C5)),(60/C5))&lt;(60/C5*C9),C6+C4,C6)</f>
        <v/>
      </c>
      <c r="D171" s="27">
        <f>IF(MOD((143/80*(60/C5)),(60/C5))&lt;(60/C5*C9),(C4/C8)*EXP(-MOD((143/80*(60/C5)),(60/C5))/(C8*C7))*60,-((C4*C7*(1-EXP(-(60/C5*C9)/(C8*C7))))/(C8*C7))*EXP(-(MOD((143/80*(60/C5)),(60/C5))-(60/C5*C9))/(C8*C7))*60)</f>
        <v/>
      </c>
      <c r="E171" s="28">
        <f>(IF(MOD((143/80*(60/C5)),(60/C5))&lt;(60/C5*C9),C4*C7*(1-EXP(-MOD((143/80*(60/C5)),(60/C5))/(C8*C7))),(C4*C7*(1-EXP(-(60/C5*C9)/(C8*C7))))*EXP(-(MOD((143/80*(60/C5)),(60/C5))-(60/C5*C9))/(C8*C7))))*1000</f>
        <v/>
      </c>
      <c r="F171" s="27">
        <f>IF(AND(MOD((143/80*(60/C5)),(60/C5))&lt;(60/C5*C9),MOD((143/80*(60/C5)),(60/C5))&lt;C12),-ABS(C11)*SIN(PI()*MOD((143/80*(60/C5)),(60/C5))/C12),0)</f>
        <v/>
      </c>
      <c r="G171" s="27">
        <f>C6*(C10/(C7+C10))+(E171/1000)/C10+F171</f>
        <v/>
      </c>
      <c r="H171" s="27">
        <f>C171-G171</f>
        <v/>
      </c>
      <c r="I171" s="27">
        <f>C6+(E171/1000)/C7</f>
        <v/>
      </c>
    </row>
    <row r="172" ht="12.95" customHeight="1" s="44">
      <c r="B172" s="25">
        <f>(144/80*(60/C5))</f>
        <v/>
      </c>
      <c r="C172" s="25">
        <f>IF(MOD((144/80*(60/C5)),(60/C5))&lt;(60/C5*C9),C6+C4,C6)</f>
        <v/>
      </c>
      <c r="D172" s="25">
        <f>IF(MOD((144/80*(60/C5)),(60/C5))&lt;(60/C5*C9),(C4/C8)*EXP(-MOD((144/80*(60/C5)),(60/C5))/(C8*C7))*60,-((C4*C7*(1-EXP(-(60/C5*C9)/(C8*C7))))/(C8*C7))*EXP(-(MOD((144/80*(60/C5)),(60/C5))-(60/C5*C9))/(C8*C7))*60)</f>
        <v/>
      </c>
      <c r="E172" s="26">
        <f>(IF(MOD((144/80*(60/C5)),(60/C5))&lt;(60/C5*C9),C4*C7*(1-EXP(-MOD((144/80*(60/C5)),(60/C5))/(C8*C7))),(C4*C7*(1-EXP(-(60/C5*C9)/(C8*C7))))*EXP(-(MOD((144/80*(60/C5)),(60/C5))-(60/C5*C9))/(C8*C7))))*1000</f>
        <v/>
      </c>
      <c r="F172" s="25">
        <f>IF(AND(MOD((144/80*(60/C5)),(60/C5))&lt;(60/C5*C9),MOD((144/80*(60/C5)),(60/C5))&lt;C12),-ABS(C11)*SIN(PI()*MOD((144/80*(60/C5)),(60/C5))/C12),0)</f>
        <v/>
      </c>
      <c r="G172" s="25">
        <f>C6*(C10/(C7+C10))+(E172/1000)/C10+F172</f>
        <v/>
      </c>
      <c r="H172" s="25">
        <f>C172-G172</f>
        <v/>
      </c>
      <c r="I172" s="25">
        <f>C6+(E172/1000)/C7</f>
        <v/>
      </c>
    </row>
    <row r="173" ht="12.95" customHeight="1" s="44">
      <c r="B173" s="27">
        <f>(145/80*(60/C5))</f>
        <v/>
      </c>
      <c r="C173" s="27">
        <f>IF(MOD((145/80*(60/C5)),(60/C5))&lt;(60/C5*C9),C6+C4,C6)</f>
        <v/>
      </c>
      <c r="D173" s="27">
        <f>IF(MOD((145/80*(60/C5)),(60/C5))&lt;(60/C5*C9),(C4/C8)*EXP(-MOD((145/80*(60/C5)),(60/C5))/(C8*C7))*60,-((C4*C7*(1-EXP(-(60/C5*C9)/(C8*C7))))/(C8*C7))*EXP(-(MOD((145/80*(60/C5)),(60/C5))-(60/C5*C9))/(C8*C7))*60)</f>
        <v/>
      </c>
      <c r="E173" s="28">
        <f>(IF(MOD((145/80*(60/C5)),(60/C5))&lt;(60/C5*C9),C4*C7*(1-EXP(-MOD((145/80*(60/C5)),(60/C5))/(C8*C7))),(C4*C7*(1-EXP(-(60/C5*C9)/(C8*C7))))*EXP(-(MOD((145/80*(60/C5)),(60/C5))-(60/C5*C9))/(C8*C7))))*1000</f>
        <v/>
      </c>
      <c r="F173" s="27">
        <f>IF(AND(MOD((145/80*(60/C5)),(60/C5))&lt;(60/C5*C9),MOD((145/80*(60/C5)),(60/C5))&lt;C12),-ABS(C11)*SIN(PI()*MOD((145/80*(60/C5)),(60/C5))/C12),0)</f>
        <v/>
      </c>
      <c r="G173" s="27">
        <f>C6*(C10/(C7+C10))+(E173/1000)/C10+F173</f>
        <v/>
      </c>
      <c r="H173" s="27">
        <f>C173-G173</f>
        <v/>
      </c>
      <c r="I173" s="27">
        <f>C6+(E173/1000)/C7</f>
        <v/>
      </c>
    </row>
    <row r="174" ht="12.95" customHeight="1" s="44">
      <c r="B174" s="25">
        <f>(146/80*(60/C5))</f>
        <v/>
      </c>
      <c r="C174" s="25">
        <f>IF(MOD((146/80*(60/C5)),(60/C5))&lt;(60/C5*C9),C6+C4,C6)</f>
        <v/>
      </c>
      <c r="D174" s="25">
        <f>IF(MOD((146/80*(60/C5)),(60/C5))&lt;(60/C5*C9),(C4/C8)*EXP(-MOD((146/80*(60/C5)),(60/C5))/(C8*C7))*60,-((C4*C7*(1-EXP(-(60/C5*C9)/(C8*C7))))/(C8*C7))*EXP(-(MOD((146/80*(60/C5)),(60/C5))-(60/C5*C9))/(C8*C7))*60)</f>
        <v/>
      </c>
      <c r="E174" s="26">
        <f>(IF(MOD((146/80*(60/C5)),(60/C5))&lt;(60/C5*C9),C4*C7*(1-EXP(-MOD((146/80*(60/C5)),(60/C5))/(C8*C7))),(C4*C7*(1-EXP(-(60/C5*C9)/(C8*C7))))*EXP(-(MOD((146/80*(60/C5)),(60/C5))-(60/C5*C9))/(C8*C7))))*1000</f>
        <v/>
      </c>
      <c r="F174" s="25">
        <f>IF(AND(MOD((146/80*(60/C5)),(60/C5))&lt;(60/C5*C9),MOD((146/80*(60/C5)),(60/C5))&lt;C12),-ABS(C11)*SIN(PI()*MOD((146/80*(60/C5)),(60/C5))/C12),0)</f>
        <v/>
      </c>
      <c r="G174" s="25">
        <f>C6*(C10/(C7+C10))+(E174/1000)/C10+F174</f>
        <v/>
      </c>
      <c r="H174" s="25">
        <f>C174-G174</f>
        <v/>
      </c>
      <c r="I174" s="25">
        <f>C6+(E174/1000)/C7</f>
        <v/>
      </c>
    </row>
    <row r="175" ht="12.95" customHeight="1" s="44">
      <c r="B175" s="27">
        <f>(147/80*(60/C5))</f>
        <v/>
      </c>
      <c r="C175" s="27">
        <f>IF(MOD((147/80*(60/C5)),(60/C5))&lt;(60/C5*C9),C6+C4,C6)</f>
        <v/>
      </c>
      <c r="D175" s="27">
        <f>IF(MOD((147/80*(60/C5)),(60/C5))&lt;(60/C5*C9),(C4/C8)*EXP(-MOD((147/80*(60/C5)),(60/C5))/(C8*C7))*60,-((C4*C7*(1-EXP(-(60/C5*C9)/(C8*C7))))/(C8*C7))*EXP(-(MOD((147/80*(60/C5)),(60/C5))-(60/C5*C9))/(C8*C7))*60)</f>
        <v/>
      </c>
      <c r="E175" s="28">
        <f>(IF(MOD((147/80*(60/C5)),(60/C5))&lt;(60/C5*C9),C4*C7*(1-EXP(-MOD((147/80*(60/C5)),(60/C5))/(C8*C7))),(C4*C7*(1-EXP(-(60/C5*C9)/(C8*C7))))*EXP(-(MOD((147/80*(60/C5)),(60/C5))-(60/C5*C9))/(C8*C7))))*1000</f>
        <v/>
      </c>
      <c r="F175" s="27">
        <f>IF(AND(MOD((147/80*(60/C5)),(60/C5))&lt;(60/C5*C9),MOD((147/80*(60/C5)),(60/C5))&lt;C12),-ABS(C11)*SIN(PI()*MOD((147/80*(60/C5)),(60/C5))/C12),0)</f>
        <v/>
      </c>
      <c r="G175" s="27">
        <f>C6*(C10/(C7+C10))+(E175/1000)/C10+F175</f>
        <v/>
      </c>
      <c r="H175" s="27">
        <f>C175-G175</f>
        <v/>
      </c>
      <c r="I175" s="27">
        <f>C6+(E175/1000)/C7</f>
        <v/>
      </c>
    </row>
    <row r="176" ht="12.95" customHeight="1" s="44">
      <c r="B176" s="25">
        <f>(148/80*(60/C5))</f>
        <v/>
      </c>
      <c r="C176" s="25">
        <f>IF(MOD((148/80*(60/C5)),(60/C5))&lt;(60/C5*C9),C6+C4,C6)</f>
        <v/>
      </c>
      <c r="D176" s="25">
        <f>IF(MOD((148/80*(60/C5)),(60/C5))&lt;(60/C5*C9),(C4/C8)*EXP(-MOD((148/80*(60/C5)),(60/C5))/(C8*C7))*60,-((C4*C7*(1-EXP(-(60/C5*C9)/(C8*C7))))/(C8*C7))*EXP(-(MOD((148/80*(60/C5)),(60/C5))-(60/C5*C9))/(C8*C7))*60)</f>
        <v/>
      </c>
      <c r="E176" s="26">
        <f>(IF(MOD((148/80*(60/C5)),(60/C5))&lt;(60/C5*C9),C4*C7*(1-EXP(-MOD((148/80*(60/C5)),(60/C5))/(C8*C7))),(C4*C7*(1-EXP(-(60/C5*C9)/(C8*C7))))*EXP(-(MOD((148/80*(60/C5)),(60/C5))-(60/C5*C9))/(C8*C7))))*1000</f>
        <v/>
      </c>
      <c r="F176" s="25">
        <f>IF(AND(MOD((148/80*(60/C5)),(60/C5))&lt;(60/C5*C9),MOD((148/80*(60/C5)),(60/C5))&lt;C12),-ABS(C11)*SIN(PI()*MOD((148/80*(60/C5)),(60/C5))/C12),0)</f>
        <v/>
      </c>
      <c r="G176" s="25">
        <f>C6*(C10/(C7+C10))+(E176/1000)/C10+F176</f>
        <v/>
      </c>
      <c r="H176" s="25">
        <f>C176-G176</f>
        <v/>
      </c>
      <c r="I176" s="25">
        <f>C6+(E176/1000)/C7</f>
        <v/>
      </c>
    </row>
    <row r="177" ht="12.95" customHeight="1" s="44">
      <c r="B177" s="27">
        <f>(149/80*(60/C5))</f>
        <v/>
      </c>
      <c r="C177" s="27">
        <f>IF(MOD((149/80*(60/C5)),(60/C5))&lt;(60/C5*C9),C6+C4,C6)</f>
        <v/>
      </c>
      <c r="D177" s="27">
        <f>IF(MOD((149/80*(60/C5)),(60/C5))&lt;(60/C5*C9),(C4/C8)*EXP(-MOD((149/80*(60/C5)),(60/C5))/(C8*C7))*60,-((C4*C7*(1-EXP(-(60/C5*C9)/(C8*C7))))/(C8*C7))*EXP(-(MOD((149/80*(60/C5)),(60/C5))-(60/C5*C9))/(C8*C7))*60)</f>
        <v/>
      </c>
      <c r="E177" s="28">
        <f>(IF(MOD((149/80*(60/C5)),(60/C5))&lt;(60/C5*C9),C4*C7*(1-EXP(-MOD((149/80*(60/C5)),(60/C5))/(C8*C7))),(C4*C7*(1-EXP(-(60/C5*C9)/(C8*C7))))*EXP(-(MOD((149/80*(60/C5)),(60/C5))-(60/C5*C9))/(C8*C7))))*1000</f>
        <v/>
      </c>
      <c r="F177" s="27">
        <f>IF(AND(MOD((149/80*(60/C5)),(60/C5))&lt;(60/C5*C9),MOD((149/80*(60/C5)),(60/C5))&lt;C12),-ABS(C11)*SIN(PI()*MOD((149/80*(60/C5)),(60/C5))/C12),0)</f>
        <v/>
      </c>
      <c r="G177" s="27">
        <f>C6*(C10/(C7+C10))+(E177/1000)/C10+F177</f>
        <v/>
      </c>
      <c r="H177" s="27">
        <f>C177-G177</f>
        <v/>
      </c>
      <c r="I177" s="27">
        <f>C6+(E177/1000)/C7</f>
        <v/>
      </c>
    </row>
    <row r="178" ht="12.95" customHeight="1" s="44">
      <c r="B178" s="25">
        <f>(150/80*(60/C5))</f>
        <v/>
      </c>
      <c r="C178" s="25">
        <f>IF(MOD((150/80*(60/C5)),(60/C5))&lt;(60/C5*C9),C6+C4,C6)</f>
        <v/>
      </c>
      <c r="D178" s="25">
        <f>IF(MOD((150/80*(60/C5)),(60/C5))&lt;(60/C5*C9),(C4/C8)*EXP(-MOD((150/80*(60/C5)),(60/C5))/(C8*C7))*60,-((C4*C7*(1-EXP(-(60/C5*C9)/(C8*C7))))/(C8*C7))*EXP(-(MOD((150/80*(60/C5)),(60/C5))-(60/C5*C9))/(C8*C7))*60)</f>
        <v/>
      </c>
      <c r="E178" s="26">
        <f>(IF(MOD((150/80*(60/C5)),(60/C5))&lt;(60/C5*C9),C4*C7*(1-EXP(-MOD((150/80*(60/C5)),(60/C5))/(C8*C7))),(C4*C7*(1-EXP(-(60/C5*C9)/(C8*C7))))*EXP(-(MOD((150/80*(60/C5)),(60/C5))-(60/C5*C9))/(C8*C7))))*1000</f>
        <v/>
      </c>
      <c r="F178" s="25">
        <f>IF(AND(MOD((150/80*(60/C5)),(60/C5))&lt;(60/C5*C9),MOD((150/80*(60/C5)),(60/C5))&lt;C12),-ABS(C11)*SIN(PI()*MOD((150/80*(60/C5)),(60/C5))/C12),0)</f>
        <v/>
      </c>
      <c r="G178" s="25">
        <f>C6*(C10/(C7+C10))+(E178/1000)/C10+F178</f>
        <v/>
      </c>
      <c r="H178" s="25">
        <f>C178-G178</f>
        <v/>
      </c>
      <c r="I178" s="25">
        <f>C6+(E178/1000)/C7</f>
        <v/>
      </c>
    </row>
    <row r="179" ht="12.95" customHeight="1" s="44">
      <c r="B179" s="27">
        <f>(151/80*(60/C5))</f>
        <v/>
      </c>
      <c r="C179" s="27">
        <f>IF(MOD((151/80*(60/C5)),(60/C5))&lt;(60/C5*C9),C6+C4,C6)</f>
        <v/>
      </c>
      <c r="D179" s="27">
        <f>IF(MOD((151/80*(60/C5)),(60/C5))&lt;(60/C5*C9),(C4/C8)*EXP(-MOD((151/80*(60/C5)),(60/C5))/(C8*C7))*60,-((C4*C7*(1-EXP(-(60/C5*C9)/(C8*C7))))/(C8*C7))*EXP(-(MOD((151/80*(60/C5)),(60/C5))-(60/C5*C9))/(C8*C7))*60)</f>
        <v/>
      </c>
      <c r="E179" s="28">
        <f>(IF(MOD((151/80*(60/C5)),(60/C5))&lt;(60/C5*C9),C4*C7*(1-EXP(-MOD((151/80*(60/C5)),(60/C5))/(C8*C7))),(C4*C7*(1-EXP(-(60/C5*C9)/(C8*C7))))*EXP(-(MOD((151/80*(60/C5)),(60/C5))-(60/C5*C9))/(C8*C7))))*1000</f>
        <v/>
      </c>
      <c r="F179" s="27">
        <f>IF(AND(MOD((151/80*(60/C5)),(60/C5))&lt;(60/C5*C9),MOD((151/80*(60/C5)),(60/C5))&lt;C12),-ABS(C11)*SIN(PI()*MOD((151/80*(60/C5)),(60/C5))/C12),0)</f>
        <v/>
      </c>
      <c r="G179" s="27">
        <f>C6*(C10/(C7+C10))+(E179/1000)/C10+F179</f>
        <v/>
      </c>
      <c r="H179" s="27">
        <f>C179-G179</f>
        <v/>
      </c>
      <c r="I179" s="27">
        <f>C6+(E179/1000)/C7</f>
        <v/>
      </c>
    </row>
    <row r="180" ht="12.95" customHeight="1" s="44">
      <c r="B180" s="25">
        <f>(152/80*(60/C5))</f>
        <v/>
      </c>
      <c r="C180" s="25">
        <f>IF(MOD((152/80*(60/C5)),(60/C5))&lt;(60/C5*C9),C6+C4,C6)</f>
        <v/>
      </c>
      <c r="D180" s="25">
        <f>IF(MOD((152/80*(60/C5)),(60/C5))&lt;(60/C5*C9),(C4/C8)*EXP(-MOD((152/80*(60/C5)),(60/C5))/(C8*C7))*60,-((C4*C7*(1-EXP(-(60/C5*C9)/(C8*C7))))/(C8*C7))*EXP(-(MOD((152/80*(60/C5)),(60/C5))-(60/C5*C9))/(C8*C7))*60)</f>
        <v/>
      </c>
      <c r="E180" s="26">
        <f>(IF(MOD((152/80*(60/C5)),(60/C5))&lt;(60/C5*C9),C4*C7*(1-EXP(-MOD((152/80*(60/C5)),(60/C5))/(C8*C7))),(C4*C7*(1-EXP(-(60/C5*C9)/(C8*C7))))*EXP(-(MOD((152/80*(60/C5)),(60/C5))-(60/C5*C9))/(C8*C7))))*1000</f>
        <v/>
      </c>
      <c r="F180" s="25">
        <f>IF(AND(MOD((152/80*(60/C5)),(60/C5))&lt;(60/C5*C9),MOD((152/80*(60/C5)),(60/C5))&lt;C12),-ABS(C11)*SIN(PI()*MOD((152/80*(60/C5)),(60/C5))/C12),0)</f>
        <v/>
      </c>
      <c r="G180" s="25">
        <f>C6*(C10/(C7+C10))+(E180/1000)/C10+F180</f>
        <v/>
      </c>
      <c r="H180" s="25">
        <f>C180-G180</f>
        <v/>
      </c>
      <c r="I180" s="25">
        <f>C6+(E180/1000)/C7</f>
        <v/>
      </c>
    </row>
    <row r="181" ht="12.95" customHeight="1" s="44">
      <c r="B181" s="27">
        <f>(153/80*(60/C5))</f>
        <v/>
      </c>
      <c r="C181" s="27">
        <f>IF(MOD((153/80*(60/C5)),(60/C5))&lt;(60/C5*C9),C6+C4,C6)</f>
        <v/>
      </c>
      <c r="D181" s="27">
        <f>IF(MOD((153/80*(60/C5)),(60/C5))&lt;(60/C5*C9),(C4/C8)*EXP(-MOD((153/80*(60/C5)),(60/C5))/(C8*C7))*60,-((C4*C7*(1-EXP(-(60/C5*C9)/(C8*C7))))/(C8*C7))*EXP(-(MOD((153/80*(60/C5)),(60/C5))-(60/C5*C9))/(C8*C7))*60)</f>
        <v/>
      </c>
      <c r="E181" s="28">
        <f>(IF(MOD((153/80*(60/C5)),(60/C5))&lt;(60/C5*C9),C4*C7*(1-EXP(-MOD((153/80*(60/C5)),(60/C5))/(C8*C7))),(C4*C7*(1-EXP(-(60/C5*C9)/(C8*C7))))*EXP(-(MOD((153/80*(60/C5)),(60/C5))-(60/C5*C9))/(C8*C7))))*1000</f>
        <v/>
      </c>
      <c r="F181" s="27">
        <f>IF(AND(MOD((153/80*(60/C5)),(60/C5))&lt;(60/C5*C9),MOD((153/80*(60/C5)),(60/C5))&lt;C12),-ABS(C11)*SIN(PI()*MOD((153/80*(60/C5)),(60/C5))/C12),0)</f>
        <v/>
      </c>
      <c r="G181" s="27">
        <f>C6*(C10/(C7+C10))+(E181/1000)/C10+F181</f>
        <v/>
      </c>
      <c r="H181" s="27">
        <f>C181-G181</f>
        <v/>
      </c>
      <c r="I181" s="27">
        <f>C6+(E181/1000)/C7</f>
        <v/>
      </c>
    </row>
    <row r="182" ht="12.95" customHeight="1" s="44">
      <c r="B182" s="25">
        <f>(154/80*(60/C5))</f>
        <v/>
      </c>
      <c r="C182" s="25">
        <f>IF(MOD((154/80*(60/C5)),(60/C5))&lt;(60/C5*C9),C6+C4,C6)</f>
        <v/>
      </c>
      <c r="D182" s="25">
        <f>IF(MOD((154/80*(60/C5)),(60/C5))&lt;(60/C5*C9),(C4/C8)*EXP(-MOD((154/80*(60/C5)),(60/C5))/(C8*C7))*60,-((C4*C7*(1-EXP(-(60/C5*C9)/(C8*C7))))/(C8*C7))*EXP(-(MOD((154/80*(60/C5)),(60/C5))-(60/C5*C9))/(C8*C7))*60)</f>
        <v/>
      </c>
      <c r="E182" s="26">
        <f>(IF(MOD((154/80*(60/C5)),(60/C5))&lt;(60/C5*C9),C4*C7*(1-EXP(-MOD((154/80*(60/C5)),(60/C5))/(C8*C7))),(C4*C7*(1-EXP(-(60/C5*C9)/(C8*C7))))*EXP(-(MOD((154/80*(60/C5)),(60/C5))-(60/C5*C9))/(C8*C7))))*1000</f>
        <v/>
      </c>
      <c r="F182" s="25">
        <f>IF(AND(MOD((154/80*(60/C5)),(60/C5))&lt;(60/C5*C9),MOD((154/80*(60/C5)),(60/C5))&lt;C12),-ABS(C11)*SIN(PI()*MOD((154/80*(60/C5)),(60/C5))/C12),0)</f>
        <v/>
      </c>
      <c r="G182" s="25">
        <f>C6*(C10/(C7+C10))+(E182/1000)/C10+F182</f>
        <v/>
      </c>
      <c r="H182" s="25">
        <f>C182-G182</f>
        <v/>
      </c>
      <c r="I182" s="25">
        <f>C6+(E182/1000)/C7</f>
        <v/>
      </c>
    </row>
    <row r="183" ht="12.95" customHeight="1" s="44">
      <c r="B183" s="27">
        <f>(155/80*(60/C5))</f>
        <v/>
      </c>
      <c r="C183" s="27">
        <f>IF(MOD((155/80*(60/C5)),(60/C5))&lt;(60/C5*C9),C6+C4,C6)</f>
        <v/>
      </c>
      <c r="D183" s="27">
        <f>IF(MOD((155/80*(60/C5)),(60/C5))&lt;(60/C5*C9),(C4/C8)*EXP(-MOD((155/80*(60/C5)),(60/C5))/(C8*C7))*60,-((C4*C7*(1-EXP(-(60/C5*C9)/(C8*C7))))/(C8*C7))*EXP(-(MOD((155/80*(60/C5)),(60/C5))-(60/C5*C9))/(C8*C7))*60)</f>
        <v/>
      </c>
      <c r="E183" s="28">
        <f>(IF(MOD((155/80*(60/C5)),(60/C5))&lt;(60/C5*C9),C4*C7*(1-EXP(-MOD((155/80*(60/C5)),(60/C5))/(C8*C7))),(C4*C7*(1-EXP(-(60/C5*C9)/(C8*C7))))*EXP(-(MOD((155/80*(60/C5)),(60/C5))-(60/C5*C9))/(C8*C7))))*1000</f>
        <v/>
      </c>
      <c r="F183" s="27">
        <f>IF(AND(MOD((155/80*(60/C5)),(60/C5))&lt;(60/C5*C9),MOD((155/80*(60/C5)),(60/C5))&lt;C12),-ABS(C11)*SIN(PI()*MOD((155/80*(60/C5)),(60/C5))/C12),0)</f>
        <v/>
      </c>
      <c r="G183" s="27">
        <f>C6*(C10/(C7+C10))+(E183/1000)/C10+F183</f>
        <v/>
      </c>
      <c r="H183" s="27">
        <f>C183-G183</f>
        <v/>
      </c>
      <c r="I183" s="27">
        <f>C6+(E183/1000)/C7</f>
        <v/>
      </c>
    </row>
    <row r="184" ht="12.95" customHeight="1" s="44">
      <c r="B184" s="25">
        <f>(156/80*(60/C5))</f>
        <v/>
      </c>
      <c r="C184" s="25">
        <f>IF(MOD((156/80*(60/C5)),(60/C5))&lt;(60/C5*C9),C6+C4,C6)</f>
        <v/>
      </c>
      <c r="D184" s="25">
        <f>IF(MOD((156/80*(60/C5)),(60/C5))&lt;(60/C5*C9),(C4/C8)*EXP(-MOD((156/80*(60/C5)),(60/C5))/(C8*C7))*60,-((C4*C7*(1-EXP(-(60/C5*C9)/(C8*C7))))/(C8*C7))*EXP(-(MOD((156/80*(60/C5)),(60/C5))-(60/C5*C9))/(C8*C7))*60)</f>
        <v/>
      </c>
      <c r="E184" s="26">
        <f>(IF(MOD((156/80*(60/C5)),(60/C5))&lt;(60/C5*C9),C4*C7*(1-EXP(-MOD((156/80*(60/C5)),(60/C5))/(C8*C7))),(C4*C7*(1-EXP(-(60/C5*C9)/(C8*C7))))*EXP(-(MOD((156/80*(60/C5)),(60/C5))-(60/C5*C9))/(C8*C7))))*1000</f>
        <v/>
      </c>
      <c r="F184" s="25">
        <f>IF(AND(MOD((156/80*(60/C5)),(60/C5))&lt;(60/C5*C9),MOD((156/80*(60/C5)),(60/C5))&lt;C12),-ABS(C11)*SIN(PI()*MOD((156/80*(60/C5)),(60/C5))/C12),0)</f>
        <v/>
      </c>
      <c r="G184" s="25">
        <f>C6*(C10/(C7+C10))+(E184/1000)/C10+F184</f>
        <v/>
      </c>
      <c r="H184" s="25">
        <f>C184-G184</f>
        <v/>
      </c>
      <c r="I184" s="25">
        <f>C6+(E184/1000)/C7</f>
        <v/>
      </c>
    </row>
    <row r="185" ht="12.95" customHeight="1" s="44">
      <c r="B185" s="27">
        <f>(157/80*(60/C5))</f>
        <v/>
      </c>
      <c r="C185" s="27">
        <f>IF(MOD((157/80*(60/C5)),(60/C5))&lt;(60/C5*C9),C6+C4,C6)</f>
        <v/>
      </c>
      <c r="D185" s="27">
        <f>IF(MOD((157/80*(60/C5)),(60/C5))&lt;(60/C5*C9),(C4/C8)*EXP(-MOD((157/80*(60/C5)),(60/C5))/(C8*C7))*60,-((C4*C7*(1-EXP(-(60/C5*C9)/(C8*C7))))/(C8*C7))*EXP(-(MOD((157/80*(60/C5)),(60/C5))-(60/C5*C9))/(C8*C7))*60)</f>
        <v/>
      </c>
      <c r="E185" s="28">
        <f>(IF(MOD((157/80*(60/C5)),(60/C5))&lt;(60/C5*C9),C4*C7*(1-EXP(-MOD((157/80*(60/C5)),(60/C5))/(C8*C7))),(C4*C7*(1-EXP(-(60/C5*C9)/(C8*C7))))*EXP(-(MOD((157/80*(60/C5)),(60/C5))-(60/C5*C9))/(C8*C7))))*1000</f>
        <v/>
      </c>
      <c r="F185" s="27">
        <f>IF(AND(MOD((157/80*(60/C5)),(60/C5))&lt;(60/C5*C9),MOD((157/80*(60/C5)),(60/C5))&lt;C12),-ABS(C11)*SIN(PI()*MOD((157/80*(60/C5)),(60/C5))/C12),0)</f>
        <v/>
      </c>
      <c r="G185" s="27">
        <f>C6*(C10/(C7+C10))+(E185/1000)/C10+F185</f>
        <v/>
      </c>
      <c r="H185" s="27">
        <f>C185-G185</f>
        <v/>
      </c>
      <c r="I185" s="27">
        <f>C6+(E185/1000)/C7</f>
        <v/>
      </c>
    </row>
    <row r="186" ht="12.95" customHeight="1" s="44">
      <c r="B186" s="25">
        <f>(158/80*(60/C5))</f>
        <v/>
      </c>
      <c r="C186" s="25">
        <f>IF(MOD((158/80*(60/C5)),(60/C5))&lt;(60/C5*C9),C6+C4,C6)</f>
        <v/>
      </c>
      <c r="D186" s="25">
        <f>IF(MOD((158/80*(60/C5)),(60/C5))&lt;(60/C5*C9),(C4/C8)*EXP(-MOD((158/80*(60/C5)),(60/C5))/(C8*C7))*60,-((C4*C7*(1-EXP(-(60/C5*C9)/(C8*C7))))/(C8*C7))*EXP(-(MOD((158/80*(60/C5)),(60/C5))-(60/C5*C9))/(C8*C7))*60)</f>
        <v/>
      </c>
      <c r="E186" s="26">
        <f>(IF(MOD((158/80*(60/C5)),(60/C5))&lt;(60/C5*C9),C4*C7*(1-EXP(-MOD((158/80*(60/C5)),(60/C5))/(C8*C7))),(C4*C7*(1-EXP(-(60/C5*C9)/(C8*C7))))*EXP(-(MOD((158/80*(60/C5)),(60/C5))-(60/C5*C9))/(C8*C7))))*1000</f>
        <v/>
      </c>
      <c r="F186" s="25">
        <f>IF(AND(MOD((158/80*(60/C5)),(60/C5))&lt;(60/C5*C9),MOD((158/80*(60/C5)),(60/C5))&lt;C12),-ABS(C11)*SIN(PI()*MOD((158/80*(60/C5)),(60/C5))/C12),0)</f>
        <v/>
      </c>
      <c r="G186" s="25">
        <f>C6*(C10/(C7+C10))+(E186/1000)/C10+F186</f>
        <v/>
      </c>
      <c r="H186" s="25">
        <f>C186-G186</f>
        <v/>
      </c>
      <c r="I186" s="25">
        <f>C6+(E186/1000)/C7</f>
        <v/>
      </c>
    </row>
    <row r="187" ht="12.95" customHeight="1" s="44">
      <c r="B187" s="27">
        <f>(159/80*(60/C5))</f>
        <v/>
      </c>
      <c r="C187" s="27">
        <f>IF(MOD((159/80*(60/C5)),(60/C5))&lt;(60/C5*C9),C6+C4,C6)</f>
        <v/>
      </c>
      <c r="D187" s="27">
        <f>IF(MOD((159/80*(60/C5)),(60/C5))&lt;(60/C5*C9),(C4/C8)*EXP(-MOD((159/80*(60/C5)),(60/C5))/(C8*C7))*60,-((C4*C7*(1-EXP(-(60/C5*C9)/(C8*C7))))/(C8*C7))*EXP(-(MOD((159/80*(60/C5)),(60/C5))-(60/C5*C9))/(C8*C7))*60)</f>
        <v/>
      </c>
      <c r="E187" s="28">
        <f>(IF(MOD((159/80*(60/C5)),(60/C5))&lt;(60/C5*C9),C4*C7*(1-EXP(-MOD((159/80*(60/C5)),(60/C5))/(C8*C7))),(C4*C7*(1-EXP(-(60/C5*C9)/(C8*C7))))*EXP(-(MOD((159/80*(60/C5)),(60/C5))-(60/C5*C9))/(C8*C7))))*1000</f>
        <v/>
      </c>
      <c r="F187" s="27">
        <f>IF(AND(MOD((159/80*(60/C5)),(60/C5))&lt;(60/C5*C9),MOD((159/80*(60/C5)),(60/C5))&lt;C12),-ABS(C11)*SIN(PI()*MOD((159/80*(60/C5)),(60/C5))/C12),0)</f>
        <v/>
      </c>
      <c r="G187" s="27">
        <f>C6*(C10/(C7+C10))+(E187/1000)/C10+F187</f>
        <v/>
      </c>
      <c r="H187" s="27">
        <f>C187-G187</f>
        <v/>
      </c>
      <c r="I187" s="27">
        <f>C6+(E187/1000)/C7</f>
        <v/>
      </c>
    </row>
    <row r="188" ht="12.95" customHeight="1" s="44">
      <c r="B188" s="25">
        <f>(160/80*(60/C5))</f>
        <v/>
      </c>
      <c r="C188" s="25">
        <f>IF(MOD((160/80*(60/C5)),(60/C5))&lt;(60/C5*C9),C6+C4,C6)</f>
        <v/>
      </c>
      <c r="D188" s="25">
        <f>IF(MOD((160/80*(60/C5)),(60/C5))&lt;(60/C5*C9),(C4/C8)*EXP(-MOD((160/80*(60/C5)),(60/C5))/(C8*C7))*60,-((C4*C7*(1-EXP(-(60/C5*C9)/(C8*C7))))/(C8*C7))*EXP(-(MOD((160/80*(60/C5)),(60/C5))-(60/C5*C9))/(C8*C7))*60)</f>
        <v/>
      </c>
      <c r="E188" s="26">
        <f>(IF(MOD((160/80*(60/C5)),(60/C5))&lt;(60/C5*C9),C4*C7*(1-EXP(-MOD((160/80*(60/C5)),(60/C5))/(C8*C7))),(C4*C7*(1-EXP(-(60/C5*C9)/(C8*C7))))*EXP(-(MOD((160/80*(60/C5)),(60/C5))-(60/C5*C9))/(C8*C7))))*1000</f>
        <v/>
      </c>
      <c r="F188" s="25">
        <f>IF(AND(MOD((160/80*(60/C5)),(60/C5))&lt;(60/C5*C9),MOD((160/80*(60/C5)),(60/C5))&lt;C12),-ABS(C11)*SIN(PI()*MOD((160/80*(60/C5)),(60/C5))/C12),0)</f>
        <v/>
      </c>
      <c r="G188" s="25">
        <f>C6*(C10/(C7+C10))+(E188/1000)/C10+F188</f>
        <v/>
      </c>
      <c r="H188" s="25">
        <f>C188-G188</f>
        <v/>
      </c>
      <c r="I188" s="25">
        <f>C6+(E188/1000)/C7</f>
        <v/>
      </c>
    </row>
    <row r="189" ht="12.95" customHeight="1" s="44">
      <c r="B189" s="27">
        <f>(161/80*(60/C5))</f>
        <v/>
      </c>
      <c r="C189" s="27">
        <f>IF(MOD((161/80*(60/C5)),(60/C5))&lt;(60/C5*C9),C6+C4,C6)</f>
        <v/>
      </c>
      <c r="D189" s="27">
        <f>IF(MOD((161/80*(60/C5)),(60/C5))&lt;(60/C5*C9),(C4/C8)*EXP(-MOD((161/80*(60/C5)),(60/C5))/(C8*C7))*60,-((C4*C7*(1-EXP(-(60/C5*C9)/(C8*C7))))/(C8*C7))*EXP(-(MOD((161/80*(60/C5)),(60/C5))-(60/C5*C9))/(C8*C7))*60)</f>
        <v/>
      </c>
      <c r="E189" s="28">
        <f>(IF(MOD((161/80*(60/C5)),(60/C5))&lt;(60/C5*C9),C4*C7*(1-EXP(-MOD((161/80*(60/C5)),(60/C5))/(C8*C7))),(C4*C7*(1-EXP(-(60/C5*C9)/(C8*C7))))*EXP(-(MOD((161/80*(60/C5)),(60/C5))-(60/C5*C9))/(C8*C7))))*1000</f>
        <v/>
      </c>
      <c r="F189" s="27">
        <f>IF(AND(MOD((161/80*(60/C5)),(60/C5))&lt;(60/C5*C9),MOD((161/80*(60/C5)),(60/C5))&lt;C12),-ABS(C11)*SIN(PI()*MOD((161/80*(60/C5)),(60/C5))/C12),0)</f>
        <v/>
      </c>
      <c r="G189" s="27">
        <f>C6*(C10/(C7+C10))+(E189/1000)/C10+F189</f>
        <v/>
      </c>
      <c r="H189" s="27">
        <f>C189-G189</f>
        <v/>
      </c>
      <c r="I189" s="27">
        <f>C6+(E189/1000)/C7</f>
        <v/>
      </c>
    </row>
    <row r="190" ht="12.95" customHeight="1" s="44">
      <c r="B190" s="25">
        <f>(162/80*(60/C5))</f>
        <v/>
      </c>
      <c r="C190" s="25">
        <f>IF(MOD((162/80*(60/C5)),(60/C5))&lt;(60/C5*C9),C6+C4,C6)</f>
        <v/>
      </c>
      <c r="D190" s="25">
        <f>IF(MOD((162/80*(60/C5)),(60/C5))&lt;(60/C5*C9),(C4/C8)*EXP(-MOD((162/80*(60/C5)),(60/C5))/(C8*C7))*60,-((C4*C7*(1-EXP(-(60/C5*C9)/(C8*C7))))/(C8*C7))*EXP(-(MOD((162/80*(60/C5)),(60/C5))-(60/C5*C9))/(C8*C7))*60)</f>
        <v/>
      </c>
      <c r="E190" s="26">
        <f>(IF(MOD((162/80*(60/C5)),(60/C5))&lt;(60/C5*C9),C4*C7*(1-EXP(-MOD((162/80*(60/C5)),(60/C5))/(C8*C7))),(C4*C7*(1-EXP(-(60/C5*C9)/(C8*C7))))*EXP(-(MOD((162/80*(60/C5)),(60/C5))-(60/C5*C9))/(C8*C7))))*1000</f>
        <v/>
      </c>
      <c r="F190" s="25">
        <f>IF(AND(MOD((162/80*(60/C5)),(60/C5))&lt;(60/C5*C9),MOD((162/80*(60/C5)),(60/C5))&lt;C12),-ABS(C11)*SIN(PI()*MOD((162/80*(60/C5)),(60/C5))/C12),0)</f>
        <v/>
      </c>
      <c r="G190" s="25">
        <f>C6*(C10/(C7+C10))+(E190/1000)/C10+F190</f>
        <v/>
      </c>
      <c r="H190" s="25">
        <f>C190-G190</f>
        <v/>
      </c>
      <c r="I190" s="25">
        <f>C6+(E190/1000)/C7</f>
        <v/>
      </c>
    </row>
    <row r="191" ht="12.95" customHeight="1" s="44">
      <c r="B191" s="27">
        <f>(163/80*(60/C5))</f>
        <v/>
      </c>
      <c r="C191" s="27">
        <f>IF(MOD((163/80*(60/C5)),(60/C5))&lt;(60/C5*C9),C6+C4,C6)</f>
        <v/>
      </c>
      <c r="D191" s="27">
        <f>IF(MOD((163/80*(60/C5)),(60/C5))&lt;(60/C5*C9),(C4/C8)*EXP(-MOD((163/80*(60/C5)),(60/C5))/(C8*C7))*60,-((C4*C7*(1-EXP(-(60/C5*C9)/(C8*C7))))/(C8*C7))*EXP(-(MOD((163/80*(60/C5)),(60/C5))-(60/C5*C9))/(C8*C7))*60)</f>
        <v/>
      </c>
      <c r="E191" s="28">
        <f>(IF(MOD((163/80*(60/C5)),(60/C5))&lt;(60/C5*C9),C4*C7*(1-EXP(-MOD((163/80*(60/C5)),(60/C5))/(C8*C7))),(C4*C7*(1-EXP(-(60/C5*C9)/(C8*C7))))*EXP(-(MOD((163/80*(60/C5)),(60/C5))-(60/C5*C9))/(C8*C7))))*1000</f>
        <v/>
      </c>
      <c r="F191" s="27">
        <f>IF(AND(MOD((163/80*(60/C5)),(60/C5))&lt;(60/C5*C9),MOD((163/80*(60/C5)),(60/C5))&lt;C12),-ABS(C11)*SIN(PI()*MOD((163/80*(60/C5)),(60/C5))/C12),0)</f>
        <v/>
      </c>
      <c r="G191" s="27">
        <f>C6*(C10/(C7+C10))+(E191/1000)/C10+F191</f>
        <v/>
      </c>
      <c r="H191" s="27">
        <f>C191-G191</f>
        <v/>
      </c>
      <c r="I191" s="27">
        <f>C6+(E191/1000)/C7</f>
        <v/>
      </c>
    </row>
    <row r="192" ht="12.95" customHeight="1" s="44">
      <c r="B192" s="25">
        <f>(164/80*(60/C5))</f>
        <v/>
      </c>
      <c r="C192" s="25">
        <f>IF(MOD((164/80*(60/C5)),(60/C5))&lt;(60/C5*C9),C6+C4,C6)</f>
        <v/>
      </c>
      <c r="D192" s="25">
        <f>IF(MOD((164/80*(60/C5)),(60/C5))&lt;(60/C5*C9),(C4/C8)*EXP(-MOD((164/80*(60/C5)),(60/C5))/(C8*C7))*60,-((C4*C7*(1-EXP(-(60/C5*C9)/(C8*C7))))/(C8*C7))*EXP(-(MOD((164/80*(60/C5)),(60/C5))-(60/C5*C9))/(C8*C7))*60)</f>
        <v/>
      </c>
      <c r="E192" s="26">
        <f>(IF(MOD((164/80*(60/C5)),(60/C5))&lt;(60/C5*C9),C4*C7*(1-EXP(-MOD((164/80*(60/C5)),(60/C5))/(C8*C7))),(C4*C7*(1-EXP(-(60/C5*C9)/(C8*C7))))*EXP(-(MOD((164/80*(60/C5)),(60/C5))-(60/C5*C9))/(C8*C7))))*1000</f>
        <v/>
      </c>
      <c r="F192" s="25">
        <f>IF(AND(MOD((164/80*(60/C5)),(60/C5))&lt;(60/C5*C9),MOD((164/80*(60/C5)),(60/C5))&lt;C12),-ABS(C11)*SIN(PI()*MOD((164/80*(60/C5)),(60/C5))/C12),0)</f>
        <v/>
      </c>
      <c r="G192" s="25">
        <f>C6*(C10/(C7+C10))+(E192/1000)/C10+F192</f>
        <v/>
      </c>
      <c r="H192" s="25">
        <f>C192-G192</f>
        <v/>
      </c>
      <c r="I192" s="25">
        <f>C6+(E192/1000)/C7</f>
        <v/>
      </c>
    </row>
    <row r="193" ht="12.95" customHeight="1" s="44">
      <c r="B193" s="27">
        <f>(165/80*(60/C5))</f>
        <v/>
      </c>
      <c r="C193" s="27">
        <f>IF(MOD((165/80*(60/C5)),(60/C5))&lt;(60/C5*C9),C6+C4,C6)</f>
        <v/>
      </c>
      <c r="D193" s="27">
        <f>IF(MOD((165/80*(60/C5)),(60/C5))&lt;(60/C5*C9),(C4/C8)*EXP(-MOD((165/80*(60/C5)),(60/C5))/(C8*C7))*60,-((C4*C7*(1-EXP(-(60/C5*C9)/(C8*C7))))/(C8*C7))*EXP(-(MOD((165/80*(60/C5)),(60/C5))-(60/C5*C9))/(C8*C7))*60)</f>
        <v/>
      </c>
      <c r="E193" s="28">
        <f>(IF(MOD((165/80*(60/C5)),(60/C5))&lt;(60/C5*C9),C4*C7*(1-EXP(-MOD((165/80*(60/C5)),(60/C5))/(C8*C7))),(C4*C7*(1-EXP(-(60/C5*C9)/(C8*C7))))*EXP(-(MOD((165/80*(60/C5)),(60/C5))-(60/C5*C9))/(C8*C7))))*1000</f>
        <v/>
      </c>
      <c r="F193" s="27">
        <f>IF(AND(MOD((165/80*(60/C5)),(60/C5))&lt;(60/C5*C9),MOD((165/80*(60/C5)),(60/C5))&lt;C12),-ABS(C11)*SIN(PI()*MOD((165/80*(60/C5)),(60/C5))/C12),0)</f>
        <v/>
      </c>
      <c r="G193" s="27">
        <f>C6*(C10/(C7+C10))+(E193/1000)/C10+F193</f>
        <v/>
      </c>
      <c r="H193" s="27">
        <f>C193-G193</f>
        <v/>
      </c>
      <c r="I193" s="27">
        <f>C6+(E193/1000)/C7</f>
        <v/>
      </c>
    </row>
    <row r="194" ht="12.95" customHeight="1" s="44">
      <c r="B194" s="25">
        <f>(166/80*(60/C5))</f>
        <v/>
      </c>
      <c r="C194" s="25">
        <f>IF(MOD((166/80*(60/C5)),(60/C5))&lt;(60/C5*C9),C6+C4,C6)</f>
        <v/>
      </c>
      <c r="D194" s="25">
        <f>IF(MOD((166/80*(60/C5)),(60/C5))&lt;(60/C5*C9),(C4/C8)*EXP(-MOD((166/80*(60/C5)),(60/C5))/(C8*C7))*60,-((C4*C7*(1-EXP(-(60/C5*C9)/(C8*C7))))/(C8*C7))*EXP(-(MOD((166/80*(60/C5)),(60/C5))-(60/C5*C9))/(C8*C7))*60)</f>
        <v/>
      </c>
      <c r="E194" s="26">
        <f>(IF(MOD((166/80*(60/C5)),(60/C5))&lt;(60/C5*C9),C4*C7*(1-EXP(-MOD((166/80*(60/C5)),(60/C5))/(C8*C7))),(C4*C7*(1-EXP(-(60/C5*C9)/(C8*C7))))*EXP(-(MOD((166/80*(60/C5)),(60/C5))-(60/C5*C9))/(C8*C7))))*1000</f>
        <v/>
      </c>
      <c r="F194" s="25">
        <f>IF(AND(MOD((166/80*(60/C5)),(60/C5))&lt;(60/C5*C9),MOD((166/80*(60/C5)),(60/C5))&lt;C12),-ABS(C11)*SIN(PI()*MOD((166/80*(60/C5)),(60/C5))/C12),0)</f>
        <v/>
      </c>
      <c r="G194" s="25">
        <f>C6*(C10/(C7+C10))+(E194/1000)/C10+F194</f>
        <v/>
      </c>
      <c r="H194" s="25">
        <f>C194-G194</f>
        <v/>
      </c>
      <c r="I194" s="25">
        <f>C6+(E194/1000)/C7</f>
        <v/>
      </c>
    </row>
    <row r="195" ht="12.95" customHeight="1" s="44">
      <c r="B195" s="27">
        <f>(167/80*(60/C5))</f>
        <v/>
      </c>
      <c r="C195" s="27">
        <f>IF(MOD((167/80*(60/C5)),(60/C5))&lt;(60/C5*C9),C6+C4,C6)</f>
        <v/>
      </c>
      <c r="D195" s="27">
        <f>IF(MOD((167/80*(60/C5)),(60/C5))&lt;(60/C5*C9),(C4/C8)*EXP(-MOD((167/80*(60/C5)),(60/C5))/(C8*C7))*60,-((C4*C7*(1-EXP(-(60/C5*C9)/(C8*C7))))/(C8*C7))*EXP(-(MOD((167/80*(60/C5)),(60/C5))-(60/C5*C9))/(C8*C7))*60)</f>
        <v/>
      </c>
      <c r="E195" s="28">
        <f>(IF(MOD((167/80*(60/C5)),(60/C5))&lt;(60/C5*C9),C4*C7*(1-EXP(-MOD((167/80*(60/C5)),(60/C5))/(C8*C7))),(C4*C7*(1-EXP(-(60/C5*C9)/(C8*C7))))*EXP(-(MOD((167/80*(60/C5)),(60/C5))-(60/C5*C9))/(C8*C7))))*1000</f>
        <v/>
      </c>
      <c r="F195" s="27">
        <f>IF(AND(MOD((167/80*(60/C5)),(60/C5))&lt;(60/C5*C9),MOD((167/80*(60/C5)),(60/C5))&lt;C12),-ABS(C11)*SIN(PI()*MOD((167/80*(60/C5)),(60/C5))/C12),0)</f>
        <v/>
      </c>
      <c r="G195" s="27">
        <f>C6*(C10/(C7+C10))+(E195/1000)/C10+F195</f>
        <v/>
      </c>
      <c r="H195" s="27">
        <f>C195-G195</f>
        <v/>
      </c>
      <c r="I195" s="27">
        <f>C6+(E195/1000)/C7</f>
        <v/>
      </c>
    </row>
    <row r="196" ht="12.95" customHeight="1" s="44">
      <c r="B196" s="25">
        <f>(168/80*(60/C5))</f>
        <v/>
      </c>
      <c r="C196" s="25">
        <f>IF(MOD((168/80*(60/C5)),(60/C5))&lt;(60/C5*C9),C6+C4,C6)</f>
        <v/>
      </c>
      <c r="D196" s="25">
        <f>IF(MOD((168/80*(60/C5)),(60/C5))&lt;(60/C5*C9),(C4/C8)*EXP(-MOD((168/80*(60/C5)),(60/C5))/(C8*C7))*60,-((C4*C7*(1-EXP(-(60/C5*C9)/(C8*C7))))/(C8*C7))*EXP(-(MOD((168/80*(60/C5)),(60/C5))-(60/C5*C9))/(C8*C7))*60)</f>
        <v/>
      </c>
      <c r="E196" s="26">
        <f>(IF(MOD((168/80*(60/C5)),(60/C5))&lt;(60/C5*C9),C4*C7*(1-EXP(-MOD((168/80*(60/C5)),(60/C5))/(C8*C7))),(C4*C7*(1-EXP(-(60/C5*C9)/(C8*C7))))*EXP(-(MOD((168/80*(60/C5)),(60/C5))-(60/C5*C9))/(C8*C7))))*1000</f>
        <v/>
      </c>
      <c r="F196" s="25">
        <f>IF(AND(MOD((168/80*(60/C5)),(60/C5))&lt;(60/C5*C9),MOD((168/80*(60/C5)),(60/C5))&lt;C12),-ABS(C11)*SIN(PI()*MOD((168/80*(60/C5)),(60/C5))/C12),0)</f>
        <v/>
      </c>
      <c r="G196" s="25">
        <f>C6*(C10/(C7+C10))+(E196/1000)/C10+F196</f>
        <v/>
      </c>
      <c r="H196" s="25">
        <f>C196-G196</f>
        <v/>
      </c>
      <c r="I196" s="25">
        <f>C6+(E196/1000)/C7</f>
        <v/>
      </c>
    </row>
    <row r="197" ht="12.95" customHeight="1" s="44">
      <c r="B197" s="27">
        <f>(169/80*(60/C5))</f>
        <v/>
      </c>
      <c r="C197" s="27">
        <f>IF(MOD((169/80*(60/C5)),(60/C5))&lt;(60/C5*C9),C6+C4,C6)</f>
        <v/>
      </c>
      <c r="D197" s="27">
        <f>IF(MOD((169/80*(60/C5)),(60/C5))&lt;(60/C5*C9),(C4/C8)*EXP(-MOD((169/80*(60/C5)),(60/C5))/(C8*C7))*60,-((C4*C7*(1-EXP(-(60/C5*C9)/(C8*C7))))/(C8*C7))*EXP(-(MOD((169/80*(60/C5)),(60/C5))-(60/C5*C9))/(C8*C7))*60)</f>
        <v/>
      </c>
      <c r="E197" s="28">
        <f>(IF(MOD((169/80*(60/C5)),(60/C5))&lt;(60/C5*C9),C4*C7*(1-EXP(-MOD((169/80*(60/C5)),(60/C5))/(C8*C7))),(C4*C7*(1-EXP(-(60/C5*C9)/(C8*C7))))*EXP(-(MOD((169/80*(60/C5)),(60/C5))-(60/C5*C9))/(C8*C7))))*1000</f>
        <v/>
      </c>
      <c r="F197" s="27">
        <f>IF(AND(MOD((169/80*(60/C5)),(60/C5))&lt;(60/C5*C9),MOD((169/80*(60/C5)),(60/C5))&lt;C12),-ABS(C11)*SIN(PI()*MOD((169/80*(60/C5)),(60/C5))/C12),0)</f>
        <v/>
      </c>
      <c r="G197" s="27">
        <f>C6*(C10/(C7+C10))+(E197/1000)/C10+F197</f>
        <v/>
      </c>
      <c r="H197" s="27">
        <f>C197-G197</f>
        <v/>
      </c>
      <c r="I197" s="27">
        <f>C6+(E197/1000)/C7</f>
        <v/>
      </c>
    </row>
    <row r="198" ht="12.95" customHeight="1" s="44">
      <c r="B198" s="25">
        <f>(170/80*(60/C5))</f>
        <v/>
      </c>
      <c r="C198" s="25">
        <f>IF(MOD((170/80*(60/C5)),(60/C5))&lt;(60/C5*C9),C6+C4,C6)</f>
        <v/>
      </c>
      <c r="D198" s="25">
        <f>IF(MOD((170/80*(60/C5)),(60/C5))&lt;(60/C5*C9),(C4/C8)*EXP(-MOD((170/80*(60/C5)),(60/C5))/(C8*C7))*60,-((C4*C7*(1-EXP(-(60/C5*C9)/(C8*C7))))/(C8*C7))*EXP(-(MOD((170/80*(60/C5)),(60/C5))-(60/C5*C9))/(C8*C7))*60)</f>
        <v/>
      </c>
      <c r="E198" s="26">
        <f>(IF(MOD((170/80*(60/C5)),(60/C5))&lt;(60/C5*C9),C4*C7*(1-EXP(-MOD((170/80*(60/C5)),(60/C5))/(C8*C7))),(C4*C7*(1-EXP(-(60/C5*C9)/(C8*C7))))*EXP(-(MOD((170/80*(60/C5)),(60/C5))-(60/C5*C9))/(C8*C7))))*1000</f>
        <v/>
      </c>
      <c r="F198" s="25">
        <f>IF(AND(MOD((170/80*(60/C5)),(60/C5))&lt;(60/C5*C9),MOD((170/80*(60/C5)),(60/C5))&lt;C12),-ABS(C11)*SIN(PI()*MOD((170/80*(60/C5)),(60/C5))/C12),0)</f>
        <v/>
      </c>
      <c r="G198" s="25">
        <f>C6*(C10/(C7+C10))+(E198/1000)/C10+F198</f>
        <v/>
      </c>
      <c r="H198" s="25">
        <f>C198-G198</f>
        <v/>
      </c>
      <c r="I198" s="25">
        <f>C6+(E198/1000)/C7</f>
        <v/>
      </c>
    </row>
    <row r="199" ht="12.95" customHeight="1" s="44">
      <c r="B199" s="27">
        <f>(171/80*(60/C5))</f>
        <v/>
      </c>
      <c r="C199" s="27">
        <f>IF(MOD((171/80*(60/C5)),(60/C5))&lt;(60/C5*C9),C6+C4,C6)</f>
        <v/>
      </c>
      <c r="D199" s="27">
        <f>IF(MOD((171/80*(60/C5)),(60/C5))&lt;(60/C5*C9),(C4/C8)*EXP(-MOD((171/80*(60/C5)),(60/C5))/(C8*C7))*60,-((C4*C7*(1-EXP(-(60/C5*C9)/(C8*C7))))/(C8*C7))*EXP(-(MOD((171/80*(60/C5)),(60/C5))-(60/C5*C9))/(C8*C7))*60)</f>
        <v/>
      </c>
      <c r="E199" s="28">
        <f>(IF(MOD((171/80*(60/C5)),(60/C5))&lt;(60/C5*C9),C4*C7*(1-EXP(-MOD((171/80*(60/C5)),(60/C5))/(C8*C7))),(C4*C7*(1-EXP(-(60/C5*C9)/(C8*C7))))*EXP(-(MOD((171/80*(60/C5)),(60/C5))-(60/C5*C9))/(C8*C7))))*1000</f>
        <v/>
      </c>
      <c r="F199" s="27">
        <f>IF(AND(MOD((171/80*(60/C5)),(60/C5))&lt;(60/C5*C9),MOD((171/80*(60/C5)),(60/C5))&lt;C12),-ABS(C11)*SIN(PI()*MOD((171/80*(60/C5)),(60/C5))/C12),0)</f>
        <v/>
      </c>
      <c r="G199" s="27">
        <f>C6*(C10/(C7+C10))+(E199/1000)/C10+F199</f>
        <v/>
      </c>
      <c r="H199" s="27">
        <f>C199-G199</f>
        <v/>
      </c>
      <c r="I199" s="27">
        <f>C6+(E199/1000)/C7</f>
        <v/>
      </c>
    </row>
    <row r="200" ht="12.95" customHeight="1" s="44">
      <c r="B200" s="25">
        <f>(172/80*(60/C5))</f>
        <v/>
      </c>
      <c r="C200" s="25">
        <f>IF(MOD((172/80*(60/C5)),(60/C5))&lt;(60/C5*C9),C6+C4,C6)</f>
        <v/>
      </c>
      <c r="D200" s="25">
        <f>IF(MOD((172/80*(60/C5)),(60/C5))&lt;(60/C5*C9),(C4/C8)*EXP(-MOD((172/80*(60/C5)),(60/C5))/(C8*C7))*60,-((C4*C7*(1-EXP(-(60/C5*C9)/(C8*C7))))/(C8*C7))*EXP(-(MOD((172/80*(60/C5)),(60/C5))-(60/C5*C9))/(C8*C7))*60)</f>
        <v/>
      </c>
      <c r="E200" s="26">
        <f>(IF(MOD((172/80*(60/C5)),(60/C5))&lt;(60/C5*C9),C4*C7*(1-EXP(-MOD((172/80*(60/C5)),(60/C5))/(C8*C7))),(C4*C7*(1-EXP(-(60/C5*C9)/(C8*C7))))*EXP(-(MOD((172/80*(60/C5)),(60/C5))-(60/C5*C9))/(C8*C7))))*1000</f>
        <v/>
      </c>
      <c r="F200" s="25">
        <f>IF(AND(MOD((172/80*(60/C5)),(60/C5))&lt;(60/C5*C9),MOD((172/80*(60/C5)),(60/C5))&lt;C12),-ABS(C11)*SIN(PI()*MOD((172/80*(60/C5)),(60/C5))/C12),0)</f>
        <v/>
      </c>
      <c r="G200" s="25">
        <f>C6*(C10/(C7+C10))+(E200/1000)/C10+F200</f>
        <v/>
      </c>
      <c r="H200" s="25">
        <f>C200-G200</f>
        <v/>
      </c>
      <c r="I200" s="25">
        <f>C6+(E200/1000)/C7</f>
        <v/>
      </c>
    </row>
    <row r="201" ht="12.95" customHeight="1" s="44">
      <c r="B201" s="27">
        <f>(173/80*(60/C5))</f>
        <v/>
      </c>
      <c r="C201" s="27">
        <f>IF(MOD((173/80*(60/C5)),(60/C5))&lt;(60/C5*C9),C6+C4,C6)</f>
        <v/>
      </c>
      <c r="D201" s="27">
        <f>IF(MOD((173/80*(60/C5)),(60/C5))&lt;(60/C5*C9),(C4/C8)*EXP(-MOD((173/80*(60/C5)),(60/C5))/(C8*C7))*60,-((C4*C7*(1-EXP(-(60/C5*C9)/(C8*C7))))/(C8*C7))*EXP(-(MOD((173/80*(60/C5)),(60/C5))-(60/C5*C9))/(C8*C7))*60)</f>
        <v/>
      </c>
      <c r="E201" s="28">
        <f>(IF(MOD((173/80*(60/C5)),(60/C5))&lt;(60/C5*C9),C4*C7*(1-EXP(-MOD((173/80*(60/C5)),(60/C5))/(C8*C7))),(C4*C7*(1-EXP(-(60/C5*C9)/(C8*C7))))*EXP(-(MOD((173/80*(60/C5)),(60/C5))-(60/C5*C9))/(C8*C7))))*1000</f>
        <v/>
      </c>
      <c r="F201" s="27">
        <f>IF(AND(MOD((173/80*(60/C5)),(60/C5))&lt;(60/C5*C9),MOD((173/80*(60/C5)),(60/C5))&lt;C12),-ABS(C11)*SIN(PI()*MOD((173/80*(60/C5)),(60/C5))/C12),0)</f>
        <v/>
      </c>
      <c r="G201" s="27">
        <f>C6*(C10/(C7+C10))+(E201/1000)/C10+F201</f>
        <v/>
      </c>
      <c r="H201" s="27">
        <f>C201-G201</f>
        <v/>
      </c>
      <c r="I201" s="27">
        <f>C6+(E201/1000)/C7</f>
        <v/>
      </c>
    </row>
    <row r="202" ht="12.95" customHeight="1" s="44">
      <c r="B202" s="25">
        <f>(174/80*(60/C5))</f>
        <v/>
      </c>
      <c r="C202" s="25">
        <f>IF(MOD((174/80*(60/C5)),(60/C5))&lt;(60/C5*C9),C6+C4,C6)</f>
        <v/>
      </c>
      <c r="D202" s="25">
        <f>IF(MOD((174/80*(60/C5)),(60/C5))&lt;(60/C5*C9),(C4/C8)*EXP(-MOD((174/80*(60/C5)),(60/C5))/(C8*C7))*60,-((C4*C7*(1-EXP(-(60/C5*C9)/(C8*C7))))/(C8*C7))*EXP(-(MOD((174/80*(60/C5)),(60/C5))-(60/C5*C9))/(C8*C7))*60)</f>
        <v/>
      </c>
      <c r="E202" s="26">
        <f>(IF(MOD((174/80*(60/C5)),(60/C5))&lt;(60/C5*C9),C4*C7*(1-EXP(-MOD((174/80*(60/C5)),(60/C5))/(C8*C7))),(C4*C7*(1-EXP(-(60/C5*C9)/(C8*C7))))*EXP(-(MOD((174/80*(60/C5)),(60/C5))-(60/C5*C9))/(C8*C7))))*1000</f>
        <v/>
      </c>
      <c r="F202" s="25">
        <f>IF(AND(MOD((174/80*(60/C5)),(60/C5))&lt;(60/C5*C9),MOD((174/80*(60/C5)),(60/C5))&lt;C12),-ABS(C11)*SIN(PI()*MOD((174/80*(60/C5)),(60/C5))/C12),0)</f>
        <v/>
      </c>
      <c r="G202" s="25">
        <f>C6*(C10/(C7+C10))+(E202/1000)/C10+F202</f>
        <v/>
      </c>
      <c r="H202" s="25">
        <f>C202-G202</f>
        <v/>
      </c>
      <c r="I202" s="25">
        <f>C6+(E202/1000)/C7</f>
        <v/>
      </c>
    </row>
    <row r="203" ht="12.95" customHeight="1" s="44">
      <c r="B203" s="27">
        <f>(175/80*(60/C5))</f>
        <v/>
      </c>
      <c r="C203" s="27">
        <f>IF(MOD((175/80*(60/C5)),(60/C5))&lt;(60/C5*C9),C6+C4,C6)</f>
        <v/>
      </c>
      <c r="D203" s="27">
        <f>IF(MOD((175/80*(60/C5)),(60/C5))&lt;(60/C5*C9),(C4/C8)*EXP(-MOD((175/80*(60/C5)),(60/C5))/(C8*C7))*60,-((C4*C7*(1-EXP(-(60/C5*C9)/(C8*C7))))/(C8*C7))*EXP(-(MOD((175/80*(60/C5)),(60/C5))-(60/C5*C9))/(C8*C7))*60)</f>
        <v/>
      </c>
      <c r="E203" s="28">
        <f>(IF(MOD((175/80*(60/C5)),(60/C5))&lt;(60/C5*C9),C4*C7*(1-EXP(-MOD((175/80*(60/C5)),(60/C5))/(C8*C7))),(C4*C7*(1-EXP(-(60/C5*C9)/(C8*C7))))*EXP(-(MOD((175/80*(60/C5)),(60/C5))-(60/C5*C9))/(C8*C7))))*1000</f>
        <v/>
      </c>
      <c r="F203" s="27">
        <f>IF(AND(MOD((175/80*(60/C5)),(60/C5))&lt;(60/C5*C9),MOD((175/80*(60/C5)),(60/C5))&lt;C12),-ABS(C11)*SIN(PI()*MOD((175/80*(60/C5)),(60/C5))/C12),0)</f>
        <v/>
      </c>
      <c r="G203" s="27">
        <f>C6*(C10/(C7+C10))+(E203/1000)/C10+F203</f>
        <v/>
      </c>
      <c r="H203" s="27">
        <f>C203-G203</f>
        <v/>
      </c>
      <c r="I203" s="27">
        <f>C6+(E203/1000)/C7</f>
        <v/>
      </c>
    </row>
    <row r="204" ht="12.95" customHeight="1" s="44">
      <c r="B204" s="25">
        <f>(176/80*(60/C5))</f>
        <v/>
      </c>
      <c r="C204" s="25">
        <f>IF(MOD((176/80*(60/C5)),(60/C5))&lt;(60/C5*C9),C6+C4,C6)</f>
        <v/>
      </c>
      <c r="D204" s="25">
        <f>IF(MOD((176/80*(60/C5)),(60/C5))&lt;(60/C5*C9),(C4/C8)*EXP(-MOD((176/80*(60/C5)),(60/C5))/(C8*C7))*60,-((C4*C7*(1-EXP(-(60/C5*C9)/(C8*C7))))/(C8*C7))*EXP(-(MOD((176/80*(60/C5)),(60/C5))-(60/C5*C9))/(C8*C7))*60)</f>
        <v/>
      </c>
      <c r="E204" s="26">
        <f>(IF(MOD((176/80*(60/C5)),(60/C5))&lt;(60/C5*C9),C4*C7*(1-EXP(-MOD((176/80*(60/C5)),(60/C5))/(C8*C7))),(C4*C7*(1-EXP(-(60/C5*C9)/(C8*C7))))*EXP(-(MOD((176/80*(60/C5)),(60/C5))-(60/C5*C9))/(C8*C7))))*1000</f>
        <v/>
      </c>
      <c r="F204" s="25">
        <f>IF(AND(MOD((176/80*(60/C5)),(60/C5))&lt;(60/C5*C9),MOD((176/80*(60/C5)),(60/C5))&lt;C12),-ABS(C11)*SIN(PI()*MOD((176/80*(60/C5)),(60/C5))/C12),0)</f>
        <v/>
      </c>
      <c r="G204" s="25">
        <f>C6*(C10/(C7+C10))+(E204/1000)/C10+F204</f>
        <v/>
      </c>
      <c r="H204" s="25">
        <f>C204-G204</f>
        <v/>
      </c>
      <c r="I204" s="25">
        <f>C6+(E204/1000)/C7</f>
        <v/>
      </c>
    </row>
    <row r="205" ht="12.95" customHeight="1" s="44">
      <c r="B205" s="27">
        <f>(177/80*(60/C5))</f>
        <v/>
      </c>
      <c r="C205" s="27">
        <f>IF(MOD((177/80*(60/C5)),(60/C5))&lt;(60/C5*C9),C6+C4,C6)</f>
        <v/>
      </c>
      <c r="D205" s="27">
        <f>IF(MOD((177/80*(60/C5)),(60/C5))&lt;(60/C5*C9),(C4/C8)*EXP(-MOD((177/80*(60/C5)),(60/C5))/(C8*C7))*60,-((C4*C7*(1-EXP(-(60/C5*C9)/(C8*C7))))/(C8*C7))*EXP(-(MOD((177/80*(60/C5)),(60/C5))-(60/C5*C9))/(C8*C7))*60)</f>
        <v/>
      </c>
      <c r="E205" s="28">
        <f>(IF(MOD((177/80*(60/C5)),(60/C5))&lt;(60/C5*C9),C4*C7*(1-EXP(-MOD((177/80*(60/C5)),(60/C5))/(C8*C7))),(C4*C7*(1-EXP(-(60/C5*C9)/(C8*C7))))*EXP(-(MOD((177/80*(60/C5)),(60/C5))-(60/C5*C9))/(C8*C7))))*1000</f>
        <v/>
      </c>
      <c r="F205" s="27">
        <f>IF(AND(MOD((177/80*(60/C5)),(60/C5))&lt;(60/C5*C9),MOD((177/80*(60/C5)),(60/C5))&lt;C12),-ABS(C11)*SIN(PI()*MOD((177/80*(60/C5)),(60/C5))/C12),0)</f>
        <v/>
      </c>
      <c r="G205" s="27">
        <f>C6*(C10/(C7+C10))+(E205/1000)/C10+F205</f>
        <v/>
      </c>
      <c r="H205" s="27">
        <f>C205-G205</f>
        <v/>
      </c>
      <c r="I205" s="27">
        <f>C6+(E205/1000)/C7</f>
        <v/>
      </c>
    </row>
    <row r="206" ht="12.95" customHeight="1" s="44">
      <c r="B206" s="25">
        <f>(178/80*(60/C5))</f>
        <v/>
      </c>
      <c r="C206" s="25">
        <f>IF(MOD((178/80*(60/C5)),(60/C5))&lt;(60/C5*C9),C6+C4,C6)</f>
        <v/>
      </c>
      <c r="D206" s="25">
        <f>IF(MOD((178/80*(60/C5)),(60/C5))&lt;(60/C5*C9),(C4/C8)*EXP(-MOD((178/80*(60/C5)),(60/C5))/(C8*C7))*60,-((C4*C7*(1-EXP(-(60/C5*C9)/(C8*C7))))/(C8*C7))*EXP(-(MOD((178/80*(60/C5)),(60/C5))-(60/C5*C9))/(C8*C7))*60)</f>
        <v/>
      </c>
      <c r="E206" s="26">
        <f>(IF(MOD((178/80*(60/C5)),(60/C5))&lt;(60/C5*C9),C4*C7*(1-EXP(-MOD((178/80*(60/C5)),(60/C5))/(C8*C7))),(C4*C7*(1-EXP(-(60/C5*C9)/(C8*C7))))*EXP(-(MOD((178/80*(60/C5)),(60/C5))-(60/C5*C9))/(C8*C7))))*1000</f>
        <v/>
      </c>
      <c r="F206" s="25">
        <f>IF(AND(MOD((178/80*(60/C5)),(60/C5))&lt;(60/C5*C9),MOD((178/80*(60/C5)),(60/C5))&lt;C12),-ABS(C11)*SIN(PI()*MOD((178/80*(60/C5)),(60/C5))/C12),0)</f>
        <v/>
      </c>
      <c r="G206" s="25">
        <f>C6*(C10/(C7+C10))+(E206/1000)/C10+F206</f>
        <v/>
      </c>
      <c r="H206" s="25">
        <f>C206-G206</f>
        <v/>
      </c>
      <c r="I206" s="25">
        <f>C6+(E206/1000)/C7</f>
        <v/>
      </c>
    </row>
    <row r="207" ht="12.95" customHeight="1" s="44">
      <c r="B207" s="27">
        <f>(179/80*(60/C5))</f>
        <v/>
      </c>
      <c r="C207" s="27">
        <f>IF(MOD((179/80*(60/C5)),(60/C5))&lt;(60/C5*C9),C6+C4,C6)</f>
        <v/>
      </c>
      <c r="D207" s="27">
        <f>IF(MOD((179/80*(60/C5)),(60/C5))&lt;(60/C5*C9),(C4/C8)*EXP(-MOD((179/80*(60/C5)),(60/C5))/(C8*C7))*60,-((C4*C7*(1-EXP(-(60/C5*C9)/(C8*C7))))/(C8*C7))*EXP(-(MOD((179/80*(60/C5)),(60/C5))-(60/C5*C9))/(C8*C7))*60)</f>
        <v/>
      </c>
      <c r="E207" s="28">
        <f>(IF(MOD((179/80*(60/C5)),(60/C5))&lt;(60/C5*C9),C4*C7*(1-EXP(-MOD((179/80*(60/C5)),(60/C5))/(C8*C7))),(C4*C7*(1-EXP(-(60/C5*C9)/(C8*C7))))*EXP(-(MOD((179/80*(60/C5)),(60/C5))-(60/C5*C9))/(C8*C7))))*1000</f>
        <v/>
      </c>
      <c r="F207" s="27">
        <f>IF(AND(MOD((179/80*(60/C5)),(60/C5))&lt;(60/C5*C9),MOD((179/80*(60/C5)),(60/C5))&lt;C12),-ABS(C11)*SIN(PI()*MOD((179/80*(60/C5)),(60/C5))/C12),0)</f>
        <v/>
      </c>
      <c r="G207" s="27">
        <f>C6*(C10/(C7+C10))+(E207/1000)/C10+F207</f>
        <v/>
      </c>
      <c r="H207" s="27">
        <f>C207-G207</f>
        <v/>
      </c>
      <c r="I207" s="27">
        <f>C6+(E207/1000)/C7</f>
        <v/>
      </c>
    </row>
    <row r="208" ht="12.95" customHeight="1" s="44">
      <c r="B208" s="25">
        <f>(180/80*(60/C5))</f>
        <v/>
      </c>
      <c r="C208" s="25">
        <f>IF(MOD((180/80*(60/C5)),(60/C5))&lt;(60/C5*C9),C6+C4,C6)</f>
        <v/>
      </c>
      <c r="D208" s="25">
        <f>IF(MOD((180/80*(60/C5)),(60/C5))&lt;(60/C5*C9),(C4/C8)*EXP(-MOD((180/80*(60/C5)),(60/C5))/(C8*C7))*60,-((C4*C7*(1-EXP(-(60/C5*C9)/(C8*C7))))/(C8*C7))*EXP(-(MOD((180/80*(60/C5)),(60/C5))-(60/C5*C9))/(C8*C7))*60)</f>
        <v/>
      </c>
      <c r="E208" s="26">
        <f>(IF(MOD((180/80*(60/C5)),(60/C5))&lt;(60/C5*C9),C4*C7*(1-EXP(-MOD((180/80*(60/C5)),(60/C5))/(C8*C7))),(C4*C7*(1-EXP(-(60/C5*C9)/(C8*C7))))*EXP(-(MOD((180/80*(60/C5)),(60/C5))-(60/C5*C9))/(C8*C7))))*1000</f>
        <v/>
      </c>
      <c r="F208" s="25">
        <f>IF(AND(MOD((180/80*(60/C5)),(60/C5))&lt;(60/C5*C9),MOD((180/80*(60/C5)),(60/C5))&lt;C12),-ABS(C11)*SIN(PI()*MOD((180/80*(60/C5)),(60/C5))/C12),0)</f>
        <v/>
      </c>
      <c r="G208" s="25">
        <f>C6*(C10/(C7+C10))+(E208/1000)/C10+F208</f>
        <v/>
      </c>
      <c r="H208" s="25">
        <f>C208-G208</f>
        <v/>
      </c>
      <c r="I208" s="25">
        <f>C6+(E208/1000)/C7</f>
        <v/>
      </c>
    </row>
    <row r="209" ht="12.95" customHeight="1" s="44">
      <c r="B209" s="27">
        <f>(181/80*(60/C5))</f>
        <v/>
      </c>
      <c r="C209" s="27">
        <f>IF(MOD((181/80*(60/C5)),(60/C5))&lt;(60/C5*C9),C6+C4,C6)</f>
        <v/>
      </c>
      <c r="D209" s="27">
        <f>IF(MOD((181/80*(60/C5)),(60/C5))&lt;(60/C5*C9),(C4/C8)*EXP(-MOD((181/80*(60/C5)),(60/C5))/(C8*C7))*60,-((C4*C7*(1-EXP(-(60/C5*C9)/(C8*C7))))/(C8*C7))*EXP(-(MOD((181/80*(60/C5)),(60/C5))-(60/C5*C9))/(C8*C7))*60)</f>
        <v/>
      </c>
      <c r="E209" s="28">
        <f>(IF(MOD((181/80*(60/C5)),(60/C5))&lt;(60/C5*C9),C4*C7*(1-EXP(-MOD((181/80*(60/C5)),(60/C5))/(C8*C7))),(C4*C7*(1-EXP(-(60/C5*C9)/(C8*C7))))*EXP(-(MOD((181/80*(60/C5)),(60/C5))-(60/C5*C9))/(C8*C7))))*1000</f>
        <v/>
      </c>
      <c r="F209" s="27">
        <f>IF(AND(MOD((181/80*(60/C5)),(60/C5))&lt;(60/C5*C9),MOD((181/80*(60/C5)),(60/C5))&lt;C12),-ABS(C11)*SIN(PI()*MOD((181/80*(60/C5)),(60/C5))/C12),0)</f>
        <v/>
      </c>
      <c r="G209" s="27">
        <f>C6*(C10/(C7+C10))+(E209/1000)/C10+F209</f>
        <v/>
      </c>
      <c r="H209" s="27">
        <f>C209-G209</f>
        <v/>
      </c>
      <c r="I209" s="27">
        <f>C6+(E209/1000)/C7</f>
        <v/>
      </c>
    </row>
    <row r="210" ht="12.95" customHeight="1" s="44">
      <c r="B210" s="25">
        <f>(182/80*(60/C5))</f>
        <v/>
      </c>
      <c r="C210" s="25">
        <f>IF(MOD((182/80*(60/C5)),(60/C5))&lt;(60/C5*C9),C6+C4,C6)</f>
        <v/>
      </c>
      <c r="D210" s="25">
        <f>IF(MOD((182/80*(60/C5)),(60/C5))&lt;(60/C5*C9),(C4/C8)*EXP(-MOD((182/80*(60/C5)),(60/C5))/(C8*C7))*60,-((C4*C7*(1-EXP(-(60/C5*C9)/(C8*C7))))/(C8*C7))*EXP(-(MOD((182/80*(60/C5)),(60/C5))-(60/C5*C9))/(C8*C7))*60)</f>
        <v/>
      </c>
      <c r="E210" s="26">
        <f>(IF(MOD((182/80*(60/C5)),(60/C5))&lt;(60/C5*C9),C4*C7*(1-EXP(-MOD((182/80*(60/C5)),(60/C5))/(C8*C7))),(C4*C7*(1-EXP(-(60/C5*C9)/(C8*C7))))*EXP(-(MOD((182/80*(60/C5)),(60/C5))-(60/C5*C9))/(C8*C7))))*1000</f>
        <v/>
      </c>
      <c r="F210" s="25">
        <f>IF(AND(MOD((182/80*(60/C5)),(60/C5))&lt;(60/C5*C9),MOD((182/80*(60/C5)),(60/C5))&lt;C12),-ABS(C11)*SIN(PI()*MOD((182/80*(60/C5)),(60/C5))/C12),0)</f>
        <v/>
      </c>
      <c r="G210" s="25">
        <f>C6*(C10/(C7+C10))+(E210/1000)/C10+F210</f>
        <v/>
      </c>
      <c r="H210" s="25">
        <f>C210-G210</f>
        <v/>
      </c>
      <c r="I210" s="25">
        <f>C6+(E210/1000)/C7</f>
        <v/>
      </c>
    </row>
    <row r="211" ht="12.95" customHeight="1" s="44">
      <c r="B211" s="27">
        <f>(183/80*(60/C5))</f>
        <v/>
      </c>
      <c r="C211" s="27">
        <f>IF(MOD((183/80*(60/C5)),(60/C5))&lt;(60/C5*C9),C6+C4,C6)</f>
        <v/>
      </c>
      <c r="D211" s="27">
        <f>IF(MOD((183/80*(60/C5)),(60/C5))&lt;(60/C5*C9),(C4/C8)*EXP(-MOD((183/80*(60/C5)),(60/C5))/(C8*C7))*60,-((C4*C7*(1-EXP(-(60/C5*C9)/(C8*C7))))/(C8*C7))*EXP(-(MOD((183/80*(60/C5)),(60/C5))-(60/C5*C9))/(C8*C7))*60)</f>
        <v/>
      </c>
      <c r="E211" s="28">
        <f>(IF(MOD((183/80*(60/C5)),(60/C5))&lt;(60/C5*C9),C4*C7*(1-EXP(-MOD((183/80*(60/C5)),(60/C5))/(C8*C7))),(C4*C7*(1-EXP(-(60/C5*C9)/(C8*C7))))*EXP(-(MOD((183/80*(60/C5)),(60/C5))-(60/C5*C9))/(C8*C7))))*1000</f>
        <v/>
      </c>
      <c r="F211" s="27">
        <f>IF(AND(MOD((183/80*(60/C5)),(60/C5))&lt;(60/C5*C9),MOD((183/80*(60/C5)),(60/C5))&lt;C12),-ABS(C11)*SIN(PI()*MOD((183/80*(60/C5)),(60/C5))/C12),0)</f>
        <v/>
      </c>
      <c r="G211" s="27">
        <f>C6*(C10/(C7+C10))+(E211/1000)/C10+F211</f>
        <v/>
      </c>
      <c r="H211" s="27">
        <f>C211-G211</f>
        <v/>
      </c>
      <c r="I211" s="27">
        <f>C6+(E211/1000)/C7</f>
        <v/>
      </c>
    </row>
    <row r="212" ht="12.95" customHeight="1" s="44">
      <c r="B212" s="25">
        <f>(184/80*(60/C5))</f>
        <v/>
      </c>
      <c r="C212" s="25">
        <f>IF(MOD((184/80*(60/C5)),(60/C5))&lt;(60/C5*C9),C6+C4,C6)</f>
        <v/>
      </c>
      <c r="D212" s="25">
        <f>IF(MOD((184/80*(60/C5)),(60/C5))&lt;(60/C5*C9),(C4/C8)*EXP(-MOD((184/80*(60/C5)),(60/C5))/(C8*C7))*60,-((C4*C7*(1-EXP(-(60/C5*C9)/(C8*C7))))/(C8*C7))*EXP(-(MOD((184/80*(60/C5)),(60/C5))-(60/C5*C9))/(C8*C7))*60)</f>
        <v/>
      </c>
      <c r="E212" s="26">
        <f>(IF(MOD((184/80*(60/C5)),(60/C5))&lt;(60/C5*C9),C4*C7*(1-EXP(-MOD((184/80*(60/C5)),(60/C5))/(C8*C7))),(C4*C7*(1-EXP(-(60/C5*C9)/(C8*C7))))*EXP(-(MOD((184/80*(60/C5)),(60/C5))-(60/C5*C9))/(C8*C7))))*1000</f>
        <v/>
      </c>
      <c r="F212" s="25">
        <f>IF(AND(MOD((184/80*(60/C5)),(60/C5))&lt;(60/C5*C9),MOD((184/80*(60/C5)),(60/C5))&lt;C12),-ABS(C11)*SIN(PI()*MOD((184/80*(60/C5)),(60/C5))/C12),0)</f>
        <v/>
      </c>
      <c r="G212" s="25">
        <f>C6*(C10/(C7+C10))+(E212/1000)/C10+F212</f>
        <v/>
      </c>
      <c r="H212" s="25">
        <f>C212-G212</f>
        <v/>
      </c>
      <c r="I212" s="25">
        <f>C6+(E212/1000)/C7</f>
        <v/>
      </c>
    </row>
    <row r="213" ht="12.95" customHeight="1" s="44">
      <c r="B213" s="27">
        <f>(185/80*(60/C5))</f>
        <v/>
      </c>
      <c r="C213" s="27">
        <f>IF(MOD((185/80*(60/C5)),(60/C5))&lt;(60/C5*C9),C6+C4,C6)</f>
        <v/>
      </c>
      <c r="D213" s="27">
        <f>IF(MOD((185/80*(60/C5)),(60/C5))&lt;(60/C5*C9),(C4/C8)*EXP(-MOD((185/80*(60/C5)),(60/C5))/(C8*C7))*60,-((C4*C7*(1-EXP(-(60/C5*C9)/(C8*C7))))/(C8*C7))*EXP(-(MOD((185/80*(60/C5)),(60/C5))-(60/C5*C9))/(C8*C7))*60)</f>
        <v/>
      </c>
      <c r="E213" s="28">
        <f>(IF(MOD((185/80*(60/C5)),(60/C5))&lt;(60/C5*C9),C4*C7*(1-EXP(-MOD((185/80*(60/C5)),(60/C5))/(C8*C7))),(C4*C7*(1-EXP(-(60/C5*C9)/(C8*C7))))*EXP(-(MOD((185/80*(60/C5)),(60/C5))-(60/C5*C9))/(C8*C7))))*1000</f>
        <v/>
      </c>
      <c r="F213" s="27">
        <f>IF(AND(MOD((185/80*(60/C5)),(60/C5))&lt;(60/C5*C9),MOD((185/80*(60/C5)),(60/C5))&lt;C12),-ABS(C11)*SIN(PI()*MOD((185/80*(60/C5)),(60/C5))/C12),0)</f>
        <v/>
      </c>
      <c r="G213" s="27">
        <f>C6*(C10/(C7+C10))+(E213/1000)/C10+F213</f>
        <v/>
      </c>
      <c r="H213" s="27">
        <f>C213-G213</f>
        <v/>
      </c>
      <c r="I213" s="27">
        <f>C6+(E213/1000)/C7</f>
        <v/>
      </c>
    </row>
    <row r="214" ht="12.95" customHeight="1" s="44">
      <c r="B214" s="25">
        <f>(186/80*(60/C5))</f>
        <v/>
      </c>
      <c r="C214" s="25">
        <f>IF(MOD((186/80*(60/C5)),(60/C5))&lt;(60/C5*C9),C6+C4,C6)</f>
        <v/>
      </c>
      <c r="D214" s="25">
        <f>IF(MOD((186/80*(60/C5)),(60/C5))&lt;(60/C5*C9),(C4/C8)*EXP(-MOD((186/80*(60/C5)),(60/C5))/(C8*C7))*60,-((C4*C7*(1-EXP(-(60/C5*C9)/(C8*C7))))/(C8*C7))*EXP(-(MOD((186/80*(60/C5)),(60/C5))-(60/C5*C9))/(C8*C7))*60)</f>
        <v/>
      </c>
      <c r="E214" s="26">
        <f>(IF(MOD((186/80*(60/C5)),(60/C5))&lt;(60/C5*C9),C4*C7*(1-EXP(-MOD((186/80*(60/C5)),(60/C5))/(C8*C7))),(C4*C7*(1-EXP(-(60/C5*C9)/(C8*C7))))*EXP(-(MOD((186/80*(60/C5)),(60/C5))-(60/C5*C9))/(C8*C7))))*1000</f>
        <v/>
      </c>
      <c r="F214" s="25">
        <f>IF(AND(MOD((186/80*(60/C5)),(60/C5))&lt;(60/C5*C9),MOD((186/80*(60/C5)),(60/C5))&lt;C12),-ABS(C11)*SIN(PI()*MOD((186/80*(60/C5)),(60/C5))/C12),0)</f>
        <v/>
      </c>
      <c r="G214" s="25">
        <f>C6*(C10/(C7+C10))+(E214/1000)/C10+F214</f>
        <v/>
      </c>
      <c r="H214" s="25">
        <f>C214-G214</f>
        <v/>
      </c>
      <c r="I214" s="25">
        <f>C6+(E214/1000)/C7</f>
        <v/>
      </c>
    </row>
    <row r="215" ht="12.95" customHeight="1" s="44">
      <c r="B215" s="27">
        <f>(187/80*(60/C5))</f>
        <v/>
      </c>
      <c r="C215" s="27">
        <f>IF(MOD((187/80*(60/C5)),(60/C5))&lt;(60/C5*C9),C6+C4,C6)</f>
        <v/>
      </c>
      <c r="D215" s="27">
        <f>IF(MOD((187/80*(60/C5)),(60/C5))&lt;(60/C5*C9),(C4/C8)*EXP(-MOD((187/80*(60/C5)),(60/C5))/(C8*C7))*60,-((C4*C7*(1-EXP(-(60/C5*C9)/(C8*C7))))/(C8*C7))*EXP(-(MOD((187/80*(60/C5)),(60/C5))-(60/C5*C9))/(C8*C7))*60)</f>
        <v/>
      </c>
      <c r="E215" s="28">
        <f>(IF(MOD((187/80*(60/C5)),(60/C5))&lt;(60/C5*C9),C4*C7*(1-EXP(-MOD((187/80*(60/C5)),(60/C5))/(C8*C7))),(C4*C7*(1-EXP(-(60/C5*C9)/(C8*C7))))*EXP(-(MOD((187/80*(60/C5)),(60/C5))-(60/C5*C9))/(C8*C7))))*1000</f>
        <v/>
      </c>
      <c r="F215" s="27">
        <f>IF(AND(MOD((187/80*(60/C5)),(60/C5))&lt;(60/C5*C9),MOD((187/80*(60/C5)),(60/C5))&lt;C12),-ABS(C11)*SIN(PI()*MOD((187/80*(60/C5)),(60/C5))/C12),0)</f>
        <v/>
      </c>
      <c r="G215" s="27">
        <f>C6*(C10/(C7+C10))+(E215/1000)/C10+F215</f>
        <v/>
      </c>
      <c r="H215" s="27">
        <f>C215-G215</f>
        <v/>
      </c>
      <c r="I215" s="27">
        <f>C6+(E215/1000)/C7</f>
        <v/>
      </c>
    </row>
    <row r="216" ht="12.95" customHeight="1" s="44">
      <c r="B216" s="25">
        <f>(188/80*(60/C5))</f>
        <v/>
      </c>
      <c r="C216" s="25">
        <f>IF(MOD((188/80*(60/C5)),(60/C5))&lt;(60/C5*C9),C6+C4,C6)</f>
        <v/>
      </c>
      <c r="D216" s="25">
        <f>IF(MOD((188/80*(60/C5)),(60/C5))&lt;(60/C5*C9),(C4/C8)*EXP(-MOD((188/80*(60/C5)),(60/C5))/(C8*C7))*60,-((C4*C7*(1-EXP(-(60/C5*C9)/(C8*C7))))/(C8*C7))*EXP(-(MOD((188/80*(60/C5)),(60/C5))-(60/C5*C9))/(C8*C7))*60)</f>
        <v/>
      </c>
      <c r="E216" s="26">
        <f>(IF(MOD((188/80*(60/C5)),(60/C5))&lt;(60/C5*C9),C4*C7*(1-EXP(-MOD((188/80*(60/C5)),(60/C5))/(C8*C7))),(C4*C7*(1-EXP(-(60/C5*C9)/(C8*C7))))*EXP(-(MOD((188/80*(60/C5)),(60/C5))-(60/C5*C9))/(C8*C7))))*1000</f>
        <v/>
      </c>
      <c r="F216" s="25">
        <f>IF(AND(MOD((188/80*(60/C5)),(60/C5))&lt;(60/C5*C9),MOD((188/80*(60/C5)),(60/C5))&lt;C12),-ABS(C11)*SIN(PI()*MOD((188/80*(60/C5)),(60/C5))/C12),0)</f>
        <v/>
      </c>
      <c r="G216" s="25">
        <f>C6*(C10/(C7+C10))+(E216/1000)/C10+F216</f>
        <v/>
      </c>
      <c r="H216" s="25">
        <f>C216-G216</f>
        <v/>
      </c>
      <c r="I216" s="25">
        <f>C6+(E216/1000)/C7</f>
        <v/>
      </c>
    </row>
    <row r="217" ht="12.95" customHeight="1" s="44">
      <c r="B217" s="27">
        <f>(189/80*(60/C5))</f>
        <v/>
      </c>
      <c r="C217" s="27">
        <f>IF(MOD((189/80*(60/C5)),(60/C5))&lt;(60/C5*C9),C6+C4,C6)</f>
        <v/>
      </c>
      <c r="D217" s="27">
        <f>IF(MOD((189/80*(60/C5)),(60/C5))&lt;(60/C5*C9),(C4/C8)*EXP(-MOD((189/80*(60/C5)),(60/C5))/(C8*C7))*60,-((C4*C7*(1-EXP(-(60/C5*C9)/(C8*C7))))/(C8*C7))*EXP(-(MOD((189/80*(60/C5)),(60/C5))-(60/C5*C9))/(C8*C7))*60)</f>
        <v/>
      </c>
      <c r="E217" s="28">
        <f>(IF(MOD((189/80*(60/C5)),(60/C5))&lt;(60/C5*C9),C4*C7*(1-EXP(-MOD((189/80*(60/C5)),(60/C5))/(C8*C7))),(C4*C7*(1-EXP(-(60/C5*C9)/(C8*C7))))*EXP(-(MOD((189/80*(60/C5)),(60/C5))-(60/C5*C9))/(C8*C7))))*1000</f>
        <v/>
      </c>
      <c r="F217" s="27">
        <f>IF(AND(MOD((189/80*(60/C5)),(60/C5))&lt;(60/C5*C9),MOD((189/80*(60/C5)),(60/C5))&lt;C12),-ABS(C11)*SIN(PI()*MOD((189/80*(60/C5)),(60/C5))/C12),0)</f>
        <v/>
      </c>
      <c r="G217" s="27">
        <f>C6*(C10/(C7+C10))+(E217/1000)/C10+F217</f>
        <v/>
      </c>
      <c r="H217" s="27">
        <f>C217-G217</f>
        <v/>
      </c>
      <c r="I217" s="27">
        <f>C6+(E217/1000)/C7</f>
        <v/>
      </c>
    </row>
    <row r="218" ht="12.95" customHeight="1" s="44">
      <c r="B218" s="25">
        <f>(190/80*(60/C5))</f>
        <v/>
      </c>
      <c r="C218" s="25">
        <f>IF(MOD((190/80*(60/C5)),(60/C5))&lt;(60/C5*C9),C6+C4,C6)</f>
        <v/>
      </c>
      <c r="D218" s="25">
        <f>IF(MOD((190/80*(60/C5)),(60/C5))&lt;(60/C5*C9),(C4/C8)*EXP(-MOD((190/80*(60/C5)),(60/C5))/(C8*C7))*60,-((C4*C7*(1-EXP(-(60/C5*C9)/(C8*C7))))/(C8*C7))*EXP(-(MOD((190/80*(60/C5)),(60/C5))-(60/C5*C9))/(C8*C7))*60)</f>
        <v/>
      </c>
      <c r="E218" s="26">
        <f>(IF(MOD((190/80*(60/C5)),(60/C5))&lt;(60/C5*C9),C4*C7*(1-EXP(-MOD((190/80*(60/C5)),(60/C5))/(C8*C7))),(C4*C7*(1-EXP(-(60/C5*C9)/(C8*C7))))*EXP(-(MOD((190/80*(60/C5)),(60/C5))-(60/C5*C9))/(C8*C7))))*1000</f>
        <v/>
      </c>
      <c r="F218" s="25">
        <f>IF(AND(MOD((190/80*(60/C5)),(60/C5))&lt;(60/C5*C9),MOD((190/80*(60/C5)),(60/C5))&lt;C12),-ABS(C11)*SIN(PI()*MOD((190/80*(60/C5)),(60/C5))/C12),0)</f>
        <v/>
      </c>
      <c r="G218" s="25">
        <f>C6*(C10/(C7+C10))+(E218/1000)/C10+F218</f>
        <v/>
      </c>
      <c r="H218" s="25">
        <f>C218-G218</f>
        <v/>
      </c>
      <c r="I218" s="25">
        <f>C6+(E218/1000)/C7</f>
        <v/>
      </c>
    </row>
    <row r="219" ht="12.95" customHeight="1" s="44">
      <c r="B219" s="27">
        <f>(191/80*(60/C5))</f>
        <v/>
      </c>
      <c r="C219" s="27">
        <f>IF(MOD((191/80*(60/C5)),(60/C5))&lt;(60/C5*C9),C6+C4,C6)</f>
        <v/>
      </c>
      <c r="D219" s="27">
        <f>IF(MOD((191/80*(60/C5)),(60/C5))&lt;(60/C5*C9),(C4/C8)*EXP(-MOD((191/80*(60/C5)),(60/C5))/(C8*C7))*60,-((C4*C7*(1-EXP(-(60/C5*C9)/(C8*C7))))/(C8*C7))*EXP(-(MOD((191/80*(60/C5)),(60/C5))-(60/C5*C9))/(C8*C7))*60)</f>
        <v/>
      </c>
      <c r="E219" s="28">
        <f>(IF(MOD((191/80*(60/C5)),(60/C5))&lt;(60/C5*C9),C4*C7*(1-EXP(-MOD((191/80*(60/C5)),(60/C5))/(C8*C7))),(C4*C7*(1-EXP(-(60/C5*C9)/(C8*C7))))*EXP(-(MOD((191/80*(60/C5)),(60/C5))-(60/C5*C9))/(C8*C7))))*1000</f>
        <v/>
      </c>
      <c r="F219" s="27">
        <f>IF(AND(MOD((191/80*(60/C5)),(60/C5))&lt;(60/C5*C9),MOD((191/80*(60/C5)),(60/C5))&lt;C12),-ABS(C11)*SIN(PI()*MOD((191/80*(60/C5)),(60/C5))/C12),0)</f>
        <v/>
      </c>
      <c r="G219" s="27">
        <f>C6*(C10/(C7+C10))+(E219/1000)/C10+F219</f>
        <v/>
      </c>
      <c r="H219" s="27">
        <f>C219-G219</f>
        <v/>
      </c>
      <c r="I219" s="27">
        <f>C6+(E219/1000)/C7</f>
        <v/>
      </c>
    </row>
    <row r="220" ht="12.95" customHeight="1" s="44">
      <c r="B220" s="25">
        <f>(192/80*(60/C5))</f>
        <v/>
      </c>
      <c r="C220" s="25">
        <f>IF(MOD((192/80*(60/C5)),(60/C5))&lt;(60/C5*C9),C6+C4,C6)</f>
        <v/>
      </c>
      <c r="D220" s="25">
        <f>IF(MOD((192/80*(60/C5)),(60/C5))&lt;(60/C5*C9),(C4/C8)*EXP(-MOD((192/80*(60/C5)),(60/C5))/(C8*C7))*60,-((C4*C7*(1-EXP(-(60/C5*C9)/(C8*C7))))/(C8*C7))*EXP(-(MOD((192/80*(60/C5)),(60/C5))-(60/C5*C9))/(C8*C7))*60)</f>
        <v/>
      </c>
      <c r="E220" s="26">
        <f>(IF(MOD((192/80*(60/C5)),(60/C5))&lt;(60/C5*C9),C4*C7*(1-EXP(-MOD((192/80*(60/C5)),(60/C5))/(C8*C7))),(C4*C7*(1-EXP(-(60/C5*C9)/(C8*C7))))*EXP(-(MOD((192/80*(60/C5)),(60/C5))-(60/C5*C9))/(C8*C7))))*1000</f>
        <v/>
      </c>
      <c r="F220" s="25">
        <f>IF(AND(MOD((192/80*(60/C5)),(60/C5))&lt;(60/C5*C9),MOD((192/80*(60/C5)),(60/C5))&lt;C12),-ABS(C11)*SIN(PI()*MOD((192/80*(60/C5)),(60/C5))/C12),0)</f>
        <v/>
      </c>
      <c r="G220" s="25">
        <f>C6*(C10/(C7+C10))+(E220/1000)/C10+F220</f>
        <v/>
      </c>
      <c r="H220" s="25">
        <f>C220-G220</f>
        <v/>
      </c>
      <c r="I220" s="25">
        <f>C6+(E220/1000)/C7</f>
        <v/>
      </c>
    </row>
    <row r="221" ht="12.95" customHeight="1" s="44">
      <c r="B221" s="27">
        <f>(193/80*(60/C5))</f>
        <v/>
      </c>
      <c r="C221" s="27">
        <f>IF(MOD((193/80*(60/C5)),(60/C5))&lt;(60/C5*C9),C6+C4,C6)</f>
        <v/>
      </c>
      <c r="D221" s="27">
        <f>IF(MOD((193/80*(60/C5)),(60/C5))&lt;(60/C5*C9),(C4/C8)*EXP(-MOD((193/80*(60/C5)),(60/C5))/(C8*C7))*60,-((C4*C7*(1-EXP(-(60/C5*C9)/(C8*C7))))/(C8*C7))*EXP(-(MOD((193/80*(60/C5)),(60/C5))-(60/C5*C9))/(C8*C7))*60)</f>
        <v/>
      </c>
      <c r="E221" s="28">
        <f>(IF(MOD((193/80*(60/C5)),(60/C5))&lt;(60/C5*C9),C4*C7*(1-EXP(-MOD((193/80*(60/C5)),(60/C5))/(C8*C7))),(C4*C7*(1-EXP(-(60/C5*C9)/(C8*C7))))*EXP(-(MOD((193/80*(60/C5)),(60/C5))-(60/C5*C9))/(C8*C7))))*1000</f>
        <v/>
      </c>
      <c r="F221" s="27">
        <f>IF(AND(MOD((193/80*(60/C5)),(60/C5))&lt;(60/C5*C9),MOD((193/80*(60/C5)),(60/C5))&lt;C12),-ABS(C11)*SIN(PI()*MOD((193/80*(60/C5)),(60/C5))/C12),0)</f>
        <v/>
      </c>
      <c r="G221" s="27">
        <f>C6*(C10/(C7+C10))+(E221/1000)/C10+F221</f>
        <v/>
      </c>
      <c r="H221" s="27">
        <f>C221-G221</f>
        <v/>
      </c>
      <c r="I221" s="27">
        <f>C6+(E221/1000)/C7</f>
        <v/>
      </c>
    </row>
    <row r="222" ht="12.95" customHeight="1" s="44">
      <c r="B222" s="25">
        <f>(194/80*(60/C5))</f>
        <v/>
      </c>
      <c r="C222" s="25">
        <f>IF(MOD((194/80*(60/C5)),(60/C5))&lt;(60/C5*C9),C6+C4,C6)</f>
        <v/>
      </c>
      <c r="D222" s="25">
        <f>IF(MOD((194/80*(60/C5)),(60/C5))&lt;(60/C5*C9),(C4/C8)*EXP(-MOD((194/80*(60/C5)),(60/C5))/(C8*C7))*60,-((C4*C7*(1-EXP(-(60/C5*C9)/(C8*C7))))/(C8*C7))*EXP(-(MOD((194/80*(60/C5)),(60/C5))-(60/C5*C9))/(C8*C7))*60)</f>
        <v/>
      </c>
      <c r="E222" s="26">
        <f>(IF(MOD((194/80*(60/C5)),(60/C5))&lt;(60/C5*C9),C4*C7*(1-EXP(-MOD((194/80*(60/C5)),(60/C5))/(C8*C7))),(C4*C7*(1-EXP(-(60/C5*C9)/(C8*C7))))*EXP(-(MOD((194/80*(60/C5)),(60/C5))-(60/C5*C9))/(C8*C7))))*1000</f>
        <v/>
      </c>
      <c r="F222" s="25">
        <f>IF(AND(MOD((194/80*(60/C5)),(60/C5))&lt;(60/C5*C9),MOD((194/80*(60/C5)),(60/C5))&lt;C12),-ABS(C11)*SIN(PI()*MOD((194/80*(60/C5)),(60/C5))/C12),0)</f>
        <v/>
      </c>
      <c r="G222" s="25">
        <f>C6*(C10/(C7+C10))+(E222/1000)/C10+F222</f>
        <v/>
      </c>
      <c r="H222" s="25">
        <f>C222-G222</f>
        <v/>
      </c>
      <c r="I222" s="25">
        <f>C6+(E222/1000)/C7</f>
        <v/>
      </c>
    </row>
    <row r="223" ht="12.95" customHeight="1" s="44">
      <c r="B223" s="27">
        <f>(195/80*(60/C5))</f>
        <v/>
      </c>
      <c r="C223" s="27">
        <f>IF(MOD((195/80*(60/C5)),(60/C5))&lt;(60/C5*C9),C6+C4,C6)</f>
        <v/>
      </c>
      <c r="D223" s="27">
        <f>IF(MOD((195/80*(60/C5)),(60/C5))&lt;(60/C5*C9),(C4/C8)*EXP(-MOD((195/80*(60/C5)),(60/C5))/(C8*C7))*60,-((C4*C7*(1-EXP(-(60/C5*C9)/(C8*C7))))/(C8*C7))*EXP(-(MOD((195/80*(60/C5)),(60/C5))-(60/C5*C9))/(C8*C7))*60)</f>
        <v/>
      </c>
      <c r="E223" s="28">
        <f>(IF(MOD((195/80*(60/C5)),(60/C5))&lt;(60/C5*C9),C4*C7*(1-EXP(-MOD((195/80*(60/C5)),(60/C5))/(C8*C7))),(C4*C7*(1-EXP(-(60/C5*C9)/(C8*C7))))*EXP(-(MOD((195/80*(60/C5)),(60/C5))-(60/C5*C9))/(C8*C7))))*1000</f>
        <v/>
      </c>
      <c r="F223" s="27">
        <f>IF(AND(MOD((195/80*(60/C5)),(60/C5))&lt;(60/C5*C9),MOD((195/80*(60/C5)),(60/C5))&lt;C12),-ABS(C11)*SIN(PI()*MOD((195/80*(60/C5)),(60/C5))/C12),0)</f>
        <v/>
      </c>
      <c r="G223" s="27">
        <f>C6*(C10/(C7+C10))+(E223/1000)/C10+F223</f>
        <v/>
      </c>
      <c r="H223" s="27">
        <f>C223-G223</f>
        <v/>
      </c>
      <c r="I223" s="27">
        <f>C6+(E223/1000)/C7</f>
        <v/>
      </c>
    </row>
    <row r="224" ht="12.95" customHeight="1" s="44">
      <c r="B224" s="25">
        <f>(196/80*(60/C5))</f>
        <v/>
      </c>
      <c r="C224" s="25">
        <f>IF(MOD((196/80*(60/C5)),(60/C5))&lt;(60/C5*C9),C6+C4,C6)</f>
        <v/>
      </c>
      <c r="D224" s="25">
        <f>IF(MOD((196/80*(60/C5)),(60/C5))&lt;(60/C5*C9),(C4/C8)*EXP(-MOD((196/80*(60/C5)),(60/C5))/(C8*C7))*60,-((C4*C7*(1-EXP(-(60/C5*C9)/(C8*C7))))/(C8*C7))*EXP(-(MOD((196/80*(60/C5)),(60/C5))-(60/C5*C9))/(C8*C7))*60)</f>
        <v/>
      </c>
      <c r="E224" s="26">
        <f>(IF(MOD((196/80*(60/C5)),(60/C5))&lt;(60/C5*C9),C4*C7*(1-EXP(-MOD((196/80*(60/C5)),(60/C5))/(C8*C7))),(C4*C7*(1-EXP(-(60/C5*C9)/(C8*C7))))*EXP(-(MOD((196/80*(60/C5)),(60/C5))-(60/C5*C9))/(C8*C7))))*1000</f>
        <v/>
      </c>
      <c r="F224" s="25">
        <f>IF(AND(MOD((196/80*(60/C5)),(60/C5))&lt;(60/C5*C9),MOD((196/80*(60/C5)),(60/C5))&lt;C12),-ABS(C11)*SIN(PI()*MOD((196/80*(60/C5)),(60/C5))/C12),0)</f>
        <v/>
      </c>
      <c r="G224" s="25">
        <f>C6*(C10/(C7+C10))+(E224/1000)/C10+F224</f>
        <v/>
      </c>
      <c r="H224" s="25">
        <f>C224-G224</f>
        <v/>
      </c>
      <c r="I224" s="25">
        <f>C6+(E224/1000)/C7</f>
        <v/>
      </c>
    </row>
    <row r="225" ht="12.95" customHeight="1" s="44">
      <c r="B225" s="27">
        <f>(197/80*(60/C5))</f>
        <v/>
      </c>
      <c r="C225" s="27">
        <f>IF(MOD((197/80*(60/C5)),(60/C5))&lt;(60/C5*C9),C6+C4,C6)</f>
        <v/>
      </c>
      <c r="D225" s="27">
        <f>IF(MOD((197/80*(60/C5)),(60/C5))&lt;(60/C5*C9),(C4/C8)*EXP(-MOD((197/80*(60/C5)),(60/C5))/(C8*C7))*60,-((C4*C7*(1-EXP(-(60/C5*C9)/(C8*C7))))/(C8*C7))*EXP(-(MOD((197/80*(60/C5)),(60/C5))-(60/C5*C9))/(C8*C7))*60)</f>
        <v/>
      </c>
      <c r="E225" s="28">
        <f>(IF(MOD((197/80*(60/C5)),(60/C5))&lt;(60/C5*C9),C4*C7*(1-EXP(-MOD((197/80*(60/C5)),(60/C5))/(C8*C7))),(C4*C7*(1-EXP(-(60/C5*C9)/(C8*C7))))*EXP(-(MOD((197/80*(60/C5)),(60/C5))-(60/C5*C9))/(C8*C7))))*1000</f>
        <v/>
      </c>
      <c r="F225" s="27">
        <f>IF(AND(MOD((197/80*(60/C5)),(60/C5))&lt;(60/C5*C9),MOD((197/80*(60/C5)),(60/C5))&lt;C12),-ABS(C11)*SIN(PI()*MOD((197/80*(60/C5)),(60/C5))/C12),0)</f>
        <v/>
      </c>
      <c r="G225" s="27">
        <f>C6*(C10/(C7+C10))+(E225/1000)/C10+F225</f>
        <v/>
      </c>
      <c r="H225" s="27">
        <f>C225-G225</f>
        <v/>
      </c>
      <c r="I225" s="27">
        <f>C6+(E225/1000)/C7</f>
        <v/>
      </c>
    </row>
    <row r="226" ht="12.95" customHeight="1" s="44">
      <c r="B226" s="25">
        <f>(198/80*(60/C5))</f>
        <v/>
      </c>
      <c r="C226" s="25">
        <f>IF(MOD((198/80*(60/C5)),(60/C5))&lt;(60/C5*C9),C6+C4,C6)</f>
        <v/>
      </c>
      <c r="D226" s="25">
        <f>IF(MOD((198/80*(60/C5)),(60/C5))&lt;(60/C5*C9),(C4/C8)*EXP(-MOD((198/80*(60/C5)),(60/C5))/(C8*C7))*60,-((C4*C7*(1-EXP(-(60/C5*C9)/(C8*C7))))/(C8*C7))*EXP(-(MOD((198/80*(60/C5)),(60/C5))-(60/C5*C9))/(C8*C7))*60)</f>
        <v/>
      </c>
      <c r="E226" s="26">
        <f>(IF(MOD((198/80*(60/C5)),(60/C5))&lt;(60/C5*C9),C4*C7*(1-EXP(-MOD((198/80*(60/C5)),(60/C5))/(C8*C7))),(C4*C7*(1-EXP(-(60/C5*C9)/(C8*C7))))*EXP(-(MOD((198/80*(60/C5)),(60/C5))-(60/C5*C9))/(C8*C7))))*1000</f>
        <v/>
      </c>
      <c r="F226" s="25">
        <f>IF(AND(MOD((198/80*(60/C5)),(60/C5))&lt;(60/C5*C9),MOD((198/80*(60/C5)),(60/C5))&lt;C12),-ABS(C11)*SIN(PI()*MOD((198/80*(60/C5)),(60/C5))/C12),0)</f>
        <v/>
      </c>
      <c r="G226" s="25">
        <f>C6*(C10/(C7+C10))+(E226/1000)/C10+F226</f>
        <v/>
      </c>
      <c r="H226" s="25">
        <f>C226-G226</f>
        <v/>
      </c>
      <c r="I226" s="25">
        <f>C6+(E226/1000)/C7</f>
        <v/>
      </c>
    </row>
    <row r="227" ht="12.95" customHeight="1" s="44">
      <c r="B227" s="27">
        <f>(199/80*(60/C5))</f>
        <v/>
      </c>
      <c r="C227" s="27">
        <f>IF(MOD((199/80*(60/C5)),(60/C5))&lt;(60/C5*C9),C6+C4,C6)</f>
        <v/>
      </c>
      <c r="D227" s="27">
        <f>IF(MOD((199/80*(60/C5)),(60/C5))&lt;(60/C5*C9),(C4/C8)*EXP(-MOD((199/80*(60/C5)),(60/C5))/(C8*C7))*60,-((C4*C7*(1-EXP(-(60/C5*C9)/(C8*C7))))/(C8*C7))*EXP(-(MOD((199/80*(60/C5)),(60/C5))-(60/C5*C9))/(C8*C7))*60)</f>
        <v/>
      </c>
      <c r="E227" s="28">
        <f>(IF(MOD((199/80*(60/C5)),(60/C5))&lt;(60/C5*C9),C4*C7*(1-EXP(-MOD((199/80*(60/C5)),(60/C5))/(C8*C7))),(C4*C7*(1-EXP(-(60/C5*C9)/(C8*C7))))*EXP(-(MOD((199/80*(60/C5)),(60/C5))-(60/C5*C9))/(C8*C7))))*1000</f>
        <v/>
      </c>
      <c r="F227" s="27">
        <f>IF(AND(MOD((199/80*(60/C5)),(60/C5))&lt;(60/C5*C9),MOD((199/80*(60/C5)),(60/C5))&lt;C12),-ABS(C11)*SIN(PI()*MOD((199/80*(60/C5)),(60/C5))/C12),0)</f>
        <v/>
      </c>
      <c r="G227" s="27">
        <f>C6*(C10/(C7+C10))+(E227/1000)/C10+F227</f>
        <v/>
      </c>
      <c r="H227" s="27">
        <f>C227-G227</f>
        <v/>
      </c>
      <c r="I227" s="27">
        <f>C6+(E227/1000)/C7</f>
        <v/>
      </c>
    </row>
    <row r="228" ht="12.95" customHeight="1" s="44">
      <c r="B228" s="25">
        <f>(200/80*(60/C5))</f>
        <v/>
      </c>
      <c r="C228" s="25">
        <f>IF(MOD((200/80*(60/C5)),(60/C5))&lt;(60/C5*C9),C6+C4,C6)</f>
        <v/>
      </c>
      <c r="D228" s="25">
        <f>IF(MOD((200/80*(60/C5)),(60/C5))&lt;(60/C5*C9),(C4/C8)*EXP(-MOD((200/80*(60/C5)),(60/C5))/(C8*C7))*60,-((C4*C7*(1-EXP(-(60/C5*C9)/(C8*C7))))/(C8*C7))*EXP(-(MOD((200/80*(60/C5)),(60/C5))-(60/C5*C9))/(C8*C7))*60)</f>
        <v/>
      </c>
      <c r="E228" s="26">
        <f>(IF(MOD((200/80*(60/C5)),(60/C5))&lt;(60/C5*C9),C4*C7*(1-EXP(-MOD((200/80*(60/C5)),(60/C5))/(C8*C7))),(C4*C7*(1-EXP(-(60/C5*C9)/(C8*C7))))*EXP(-(MOD((200/80*(60/C5)),(60/C5))-(60/C5*C9))/(C8*C7))))*1000</f>
        <v/>
      </c>
      <c r="F228" s="25">
        <f>IF(AND(MOD((200/80*(60/C5)),(60/C5))&lt;(60/C5*C9),MOD((200/80*(60/C5)),(60/C5))&lt;C12),-ABS(C11)*SIN(PI()*MOD((200/80*(60/C5)),(60/C5))/C12),0)</f>
        <v/>
      </c>
      <c r="G228" s="25">
        <f>C6*(C10/(C7+C10))+(E228/1000)/C10+F228</f>
        <v/>
      </c>
      <c r="H228" s="25">
        <f>C228-G228</f>
        <v/>
      </c>
      <c r="I228" s="25">
        <f>C6+(E228/1000)/C7</f>
        <v/>
      </c>
    </row>
    <row r="229" ht="12.95" customHeight="1" s="44">
      <c r="B229" s="27">
        <f>(201/80*(60/C5))</f>
        <v/>
      </c>
      <c r="C229" s="27">
        <f>IF(MOD((201/80*(60/C5)),(60/C5))&lt;(60/C5*C9),C6+C4,C6)</f>
        <v/>
      </c>
      <c r="D229" s="27">
        <f>IF(MOD((201/80*(60/C5)),(60/C5))&lt;(60/C5*C9),(C4/C8)*EXP(-MOD((201/80*(60/C5)),(60/C5))/(C8*C7))*60,-((C4*C7*(1-EXP(-(60/C5*C9)/(C8*C7))))/(C8*C7))*EXP(-(MOD((201/80*(60/C5)),(60/C5))-(60/C5*C9))/(C8*C7))*60)</f>
        <v/>
      </c>
      <c r="E229" s="28">
        <f>(IF(MOD((201/80*(60/C5)),(60/C5))&lt;(60/C5*C9),C4*C7*(1-EXP(-MOD((201/80*(60/C5)),(60/C5))/(C8*C7))),(C4*C7*(1-EXP(-(60/C5*C9)/(C8*C7))))*EXP(-(MOD((201/80*(60/C5)),(60/C5))-(60/C5*C9))/(C8*C7))))*1000</f>
        <v/>
      </c>
      <c r="F229" s="27">
        <f>IF(AND(MOD((201/80*(60/C5)),(60/C5))&lt;(60/C5*C9),MOD((201/80*(60/C5)),(60/C5))&lt;C12),-ABS(C11)*SIN(PI()*MOD((201/80*(60/C5)),(60/C5))/C12),0)</f>
        <v/>
      </c>
      <c r="G229" s="27">
        <f>C6*(C10/(C7+C10))+(E229/1000)/C10+F229</f>
        <v/>
      </c>
      <c r="H229" s="27">
        <f>C229-G229</f>
        <v/>
      </c>
      <c r="I229" s="27">
        <f>C6+(E229/1000)/C7</f>
        <v/>
      </c>
    </row>
    <row r="230" ht="12.95" customHeight="1" s="44">
      <c r="B230" s="25">
        <f>(202/80*(60/C5))</f>
        <v/>
      </c>
      <c r="C230" s="25">
        <f>IF(MOD((202/80*(60/C5)),(60/C5))&lt;(60/C5*C9),C6+C4,C6)</f>
        <v/>
      </c>
      <c r="D230" s="25">
        <f>IF(MOD((202/80*(60/C5)),(60/C5))&lt;(60/C5*C9),(C4/C8)*EXP(-MOD((202/80*(60/C5)),(60/C5))/(C8*C7))*60,-((C4*C7*(1-EXP(-(60/C5*C9)/(C8*C7))))/(C8*C7))*EXP(-(MOD((202/80*(60/C5)),(60/C5))-(60/C5*C9))/(C8*C7))*60)</f>
        <v/>
      </c>
      <c r="E230" s="26">
        <f>(IF(MOD((202/80*(60/C5)),(60/C5))&lt;(60/C5*C9),C4*C7*(1-EXP(-MOD((202/80*(60/C5)),(60/C5))/(C8*C7))),(C4*C7*(1-EXP(-(60/C5*C9)/(C8*C7))))*EXP(-(MOD((202/80*(60/C5)),(60/C5))-(60/C5*C9))/(C8*C7))))*1000</f>
        <v/>
      </c>
      <c r="F230" s="25">
        <f>IF(AND(MOD((202/80*(60/C5)),(60/C5))&lt;(60/C5*C9),MOD((202/80*(60/C5)),(60/C5))&lt;C12),-ABS(C11)*SIN(PI()*MOD((202/80*(60/C5)),(60/C5))/C12),0)</f>
        <v/>
      </c>
      <c r="G230" s="25">
        <f>C6*(C10/(C7+C10))+(E230/1000)/C10+F230</f>
        <v/>
      </c>
      <c r="H230" s="25">
        <f>C230-G230</f>
        <v/>
      </c>
      <c r="I230" s="25">
        <f>C6+(E230/1000)/C7</f>
        <v/>
      </c>
    </row>
    <row r="231" ht="12.95" customHeight="1" s="44">
      <c r="B231" s="27">
        <f>(203/80*(60/C5))</f>
        <v/>
      </c>
      <c r="C231" s="27">
        <f>IF(MOD((203/80*(60/C5)),(60/C5))&lt;(60/C5*C9),C6+C4,C6)</f>
        <v/>
      </c>
      <c r="D231" s="27">
        <f>IF(MOD((203/80*(60/C5)),(60/C5))&lt;(60/C5*C9),(C4/C8)*EXP(-MOD((203/80*(60/C5)),(60/C5))/(C8*C7))*60,-((C4*C7*(1-EXP(-(60/C5*C9)/(C8*C7))))/(C8*C7))*EXP(-(MOD((203/80*(60/C5)),(60/C5))-(60/C5*C9))/(C8*C7))*60)</f>
        <v/>
      </c>
      <c r="E231" s="28">
        <f>(IF(MOD((203/80*(60/C5)),(60/C5))&lt;(60/C5*C9),C4*C7*(1-EXP(-MOD((203/80*(60/C5)),(60/C5))/(C8*C7))),(C4*C7*(1-EXP(-(60/C5*C9)/(C8*C7))))*EXP(-(MOD((203/80*(60/C5)),(60/C5))-(60/C5*C9))/(C8*C7))))*1000</f>
        <v/>
      </c>
      <c r="F231" s="27">
        <f>IF(AND(MOD((203/80*(60/C5)),(60/C5))&lt;(60/C5*C9),MOD((203/80*(60/C5)),(60/C5))&lt;C12),-ABS(C11)*SIN(PI()*MOD((203/80*(60/C5)),(60/C5))/C12),0)</f>
        <v/>
      </c>
      <c r="G231" s="27">
        <f>C6*(C10/(C7+C10))+(E231/1000)/C10+F231</f>
        <v/>
      </c>
      <c r="H231" s="27">
        <f>C231-G231</f>
        <v/>
      </c>
      <c r="I231" s="27">
        <f>C6+(E231/1000)/C7</f>
        <v/>
      </c>
    </row>
    <row r="232" ht="12.95" customHeight="1" s="44">
      <c r="B232" s="25">
        <f>(204/80*(60/C5))</f>
        <v/>
      </c>
      <c r="C232" s="25">
        <f>IF(MOD((204/80*(60/C5)),(60/C5))&lt;(60/C5*C9),C6+C4,C6)</f>
        <v/>
      </c>
      <c r="D232" s="25">
        <f>IF(MOD((204/80*(60/C5)),(60/C5))&lt;(60/C5*C9),(C4/C8)*EXP(-MOD((204/80*(60/C5)),(60/C5))/(C8*C7))*60,-((C4*C7*(1-EXP(-(60/C5*C9)/(C8*C7))))/(C8*C7))*EXP(-(MOD((204/80*(60/C5)),(60/C5))-(60/C5*C9))/(C8*C7))*60)</f>
        <v/>
      </c>
      <c r="E232" s="26">
        <f>(IF(MOD((204/80*(60/C5)),(60/C5))&lt;(60/C5*C9),C4*C7*(1-EXP(-MOD((204/80*(60/C5)),(60/C5))/(C8*C7))),(C4*C7*(1-EXP(-(60/C5*C9)/(C8*C7))))*EXP(-(MOD((204/80*(60/C5)),(60/C5))-(60/C5*C9))/(C8*C7))))*1000</f>
        <v/>
      </c>
      <c r="F232" s="25">
        <f>IF(AND(MOD((204/80*(60/C5)),(60/C5))&lt;(60/C5*C9),MOD((204/80*(60/C5)),(60/C5))&lt;C12),-ABS(C11)*SIN(PI()*MOD((204/80*(60/C5)),(60/C5))/C12),0)</f>
        <v/>
      </c>
      <c r="G232" s="25">
        <f>C6*(C10/(C7+C10))+(E232/1000)/C10+F232</f>
        <v/>
      </c>
      <c r="H232" s="25">
        <f>C232-G232</f>
        <v/>
      </c>
      <c r="I232" s="25">
        <f>C6+(E232/1000)/C7</f>
        <v/>
      </c>
    </row>
    <row r="233" ht="12.95" customHeight="1" s="44">
      <c r="B233" s="27">
        <f>(205/80*(60/C5))</f>
        <v/>
      </c>
      <c r="C233" s="27">
        <f>IF(MOD((205/80*(60/C5)),(60/C5))&lt;(60/C5*C9),C6+C4,C6)</f>
        <v/>
      </c>
      <c r="D233" s="27">
        <f>IF(MOD((205/80*(60/C5)),(60/C5))&lt;(60/C5*C9),(C4/C8)*EXP(-MOD((205/80*(60/C5)),(60/C5))/(C8*C7))*60,-((C4*C7*(1-EXP(-(60/C5*C9)/(C8*C7))))/(C8*C7))*EXP(-(MOD((205/80*(60/C5)),(60/C5))-(60/C5*C9))/(C8*C7))*60)</f>
        <v/>
      </c>
      <c r="E233" s="28">
        <f>(IF(MOD((205/80*(60/C5)),(60/C5))&lt;(60/C5*C9),C4*C7*(1-EXP(-MOD((205/80*(60/C5)),(60/C5))/(C8*C7))),(C4*C7*(1-EXP(-(60/C5*C9)/(C8*C7))))*EXP(-(MOD((205/80*(60/C5)),(60/C5))-(60/C5*C9))/(C8*C7))))*1000</f>
        <v/>
      </c>
      <c r="F233" s="27">
        <f>IF(AND(MOD((205/80*(60/C5)),(60/C5))&lt;(60/C5*C9),MOD((205/80*(60/C5)),(60/C5))&lt;C12),-ABS(C11)*SIN(PI()*MOD((205/80*(60/C5)),(60/C5))/C12),0)</f>
        <v/>
      </c>
      <c r="G233" s="27">
        <f>C6*(C10/(C7+C10))+(E233/1000)/C10+F233</f>
        <v/>
      </c>
      <c r="H233" s="27">
        <f>C233-G233</f>
        <v/>
      </c>
      <c r="I233" s="27">
        <f>C6+(E233/1000)/C7</f>
        <v/>
      </c>
    </row>
    <row r="234" ht="12.95" customHeight="1" s="44">
      <c r="B234" s="25">
        <f>(206/80*(60/C5))</f>
        <v/>
      </c>
      <c r="C234" s="25">
        <f>IF(MOD((206/80*(60/C5)),(60/C5))&lt;(60/C5*C9),C6+C4,C6)</f>
        <v/>
      </c>
      <c r="D234" s="25">
        <f>IF(MOD((206/80*(60/C5)),(60/C5))&lt;(60/C5*C9),(C4/C8)*EXP(-MOD((206/80*(60/C5)),(60/C5))/(C8*C7))*60,-((C4*C7*(1-EXP(-(60/C5*C9)/(C8*C7))))/(C8*C7))*EXP(-(MOD((206/80*(60/C5)),(60/C5))-(60/C5*C9))/(C8*C7))*60)</f>
        <v/>
      </c>
      <c r="E234" s="26">
        <f>(IF(MOD((206/80*(60/C5)),(60/C5))&lt;(60/C5*C9),C4*C7*(1-EXP(-MOD((206/80*(60/C5)),(60/C5))/(C8*C7))),(C4*C7*(1-EXP(-(60/C5*C9)/(C8*C7))))*EXP(-(MOD((206/80*(60/C5)),(60/C5))-(60/C5*C9))/(C8*C7))))*1000</f>
        <v/>
      </c>
      <c r="F234" s="25">
        <f>IF(AND(MOD((206/80*(60/C5)),(60/C5))&lt;(60/C5*C9),MOD((206/80*(60/C5)),(60/C5))&lt;C12),-ABS(C11)*SIN(PI()*MOD((206/80*(60/C5)),(60/C5))/C12),0)</f>
        <v/>
      </c>
      <c r="G234" s="25">
        <f>C6*(C10/(C7+C10))+(E234/1000)/C10+F234</f>
        <v/>
      </c>
      <c r="H234" s="25">
        <f>C234-G234</f>
        <v/>
      </c>
      <c r="I234" s="25">
        <f>C6+(E234/1000)/C7</f>
        <v/>
      </c>
    </row>
    <row r="235" ht="12.95" customHeight="1" s="44">
      <c r="B235" s="27">
        <f>(207/80*(60/C5))</f>
        <v/>
      </c>
      <c r="C235" s="27">
        <f>IF(MOD((207/80*(60/C5)),(60/C5))&lt;(60/C5*C9),C6+C4,C6)</f>
        <v/>
      </c>
      <c r="D235" s="27">
        <f>IF(MOD((207/80*(60/C5)),(60/C5))&lt;(60/C5*C9),(C4/C8)*EXP(-MOD((207/80*(60/C5)),(60/C5))/(C8*C7))*60,-((C4*C7*(1-EXP(-(60/C5*C9)/(C8*C7))))/(C8*C7))*EXP(-(MOD((207/80*(60/C5)),(60/C5))-(60/C5*C9))/(C8*C7))*60)</f>
        <v/>
      </c>
      <c r="E235" s="28">
        <f>(IF(MOD((207/80*(60/C5)),(60/C5))&lt;(60/C5*C9),C4*C7*(1-EXP(-MOD((207/80*(60/C5)),(60/C5))/(C8*C7))),(C4*C7*(1-EXP(-(60/C5*C9)/(C8*C7))))*EXP(-(MOD((207/80*(60/C5)),(60/C5))-(60/C5*C9))/(C8*C7))))*1000</f>
        <v/>
      </c>
      <c r="F235" s="27">
        <f>IF(AND(MOD((207/80*(60/C5)),(60/C5))&lt;(60/C5*C9),MOD((207/80*(60/C5)),(60/C5))&lt;C12),-ABS(C11)*SIN(PI()*MOD((207/80*(60/C5)),(60/C5))/C12),0)</f>
        <v/>
      </c>
      <c r="G235" s="27">
        <f>C6*(C10/(C7+C10))+(E235/1000)/C10+F235</f>
        <v/>
      </c>
      <c r="H235" s="27">
        <f>C235-G235</f>
        <v/>
      </c>
      <c r="I235" s="27">
        <f>C6+(E235/1000)/C7</f>
        <v/>
      </c>
    </row>
    <row r="236" ht="12.95" customHeight="1" s="44">
      <c r="B236" s="25">
        <f>(208/80*(60/C5))</f>
        <v/>
      </c>
      <c r="C236" s="25">
        <f>IF(MOD((208/80*(60/C5)),(60/C5))&lt;(60/C5*C9),C6+C4,C6)</f>
        <v/>
      </c>
      <c r="D236" s="25">
        <f>IF(MOD((208/80*(60/C5)),(60/C5))&lt;(60/C5*C9),(C4/C8)*EXP(-MOD((208/80*(60/C5)),(60/C5))/(C8*C7))*60,-((C4*C7*(1-EXP(-(60/C5*C9)/(C8*C7))))/(C8*C7))*EXP(-(MOD((208/80*(60/C5)),(60/C5))-(60/C5*C9))/(C8*C7))*60)</f>
        <v/>
      </c>
      <c r="E236" s="26">
        <f>(IF(MOD((208/80*(60/C5)),(60/C5))&lt;(60/C5*C9),C4*C7*(1-EXP(-MOD((208/80*(60/C5)),(60/C5))/(C8*C7))),(C4*C7*(1-EXP(-(60/C5*C9)/(C8*C7))))*EXP(-(MOD((208/80*(60/C5)),(60/C5))-(60/C5*C9))/(C8*C7))))*1000</f>
        <v/>
      </c>
      <c r="F236" s="25">
        <f>IF(AND(MOD((208/80*(60/C5)),(60/C5))&lt;(60/C5*C9),MOD((208/80*(60/C5)),(60/C5))&lt;C12),-ABS(C11)*SIN(PI()*MOD((208/80*(60/C5)),(60/C5))/C12),0)</f>
        <v/>
      </c>
      <c r="G236" s="25">
        <f>C6*(C10/(C7+C10))+(E236/1000)/C10+F236</f>
        <v/>
      </c>
      <c r="H236" s="25">
        <f>C236-G236</f>
        <v/>
      </c>
      <c r="I236" s="25">
        <f>C6+(E236/1000)/C7</f>
        <v/>
      </c>
    </row>
    <row r="237" ht="12.95" customHeight="1" s="44">
      <c r="B237" s="27">
        <f>(209/80*(60/C5))</f>
        <v/>
      </c>
      <c r="C237" s="27">
        <f>IF(MOD((209/80*(60/C5)),(60/C5))&lt;(60/C5*C9),C6+C4,C6)</f>
        <v/>
      </c>
      <c r="D237" s="27">
        <f>IF(MOD((209/80*(60/C5)),(60/C5))&lt;(60/C5*C9),(C4/C8)*EXP(-MOD((209/80*(60/C5)),(60/C5))/(C8*C7))*60,-((C4*C7*(1-EXP(-(60/C5*C9)/(C8*C7))))/(C8*C7))*EXP(-(MOD((209/80*(60/C5)),(60/C5))-(60/C5*C9))/(C8*C7))*60)</f>
        <v/>
      </c>
      <c r="E237" s="28">
        <f>(IF(MOD((209/80*(60/C5)),(60/C5))&lt;(60/C5*C9),C4*C7*(1-EXP(-MOD((209/80*(60/C5)),(60/C5))/(C8*C7))),(C4*C7*(1-EXP(-(60/C5*C9)/(C8*C7))))*EXP(-(MOD((209/80*(60/C5)),(60/C5))-(60/C5*C9))/(C8*C7))))*1000</f>
        <v/>
      </c>
      <c r="F237" s="27">
        <f>IF(AND(MOD((209/80*(60/C5)),(60/C5))&lt;(60/C5*C9),MOD((209/80*(60/C5)),(60/C5))&lt;C12),-ABS(C11)*SIN(PI()*MOD((209/80*(60/C5)),(60/C5))/C12),0)</f>
        <v/>
      </c>
      <c r="G237" s="27">
        <f>C6*(C10/(C7+C10))+(E237/1000)/C10+F237</f>
        <v/>
      </c>
      <c r="H237" s="27">
        <f>C237-G237</f>
        <v/>
      </c>
      <c r="I237" s="27">
        <f>C6+(E237/1000)/C7</f>
        <v/>
      </c>
    </row>
    <row r="238" ht="12.95" customHeight="1" s="44">
      <c r="B238" s="25">
        <f>(210/80*(60/C5))</f>
        <v/>
      </c>
      <c r="C238" s="25">
        <f>IF(MOD((210/80*(60/C5)),(60/C5))&lt;(60/C5*C9),C6+C4,C6)</f>
        <v/>
      </c>
      <c r="D238" s="25">
        <f>IF(MOD((210/80*(60/C5)),(60/C5))&lt;(60/C5*C9),(C4/C8)*EXP(-MOD((210/80*(60/C5)),(60/C5))/(C8*C7))*60,-((C4*C7*(1-EXP(-(60/C5*C9)/(C8*C7))))/(C8*C7))*EXP(-(MOD((210/80*(60/C5)),(60/C5))-(60/C5*C9))/(C8*C7))*60)</f>
        <v/>
      </c>
      <c r="E238" s="26">
        <f>(IF(MOD((210/80*(60/C5)),(60/C5))&lt;(60/C5*C9),C4*C7*(1-EXP(-MOD((210/80*(60/C5)),(60/C5))/(C8*C7))),(C4*C7*(1-EXP(-(60/C5*C9)/(C8*C7))))*EXP(-(MOD((210/80*(60/C5)),(60/C5))-(60/C5*C9))/(C8*C7))))*1000</f>
        <v/>
      </c>
      <c r="F238" s="25">
        <f>IF(AND(MOD((210/80*(60/C5)),(60/C5))&lt;(60/C5*C9),MOD((210/80*(60/C5)),(60/C5))&lt;C12),-ABS(C11)*SIN(PI()*MOD((210/80*(60/C5)),(60/C5))/C12),0)</f>
        <v/>
      </c>
      <c r="G238" s="25">
        <f>C6*(C10/(C7+C10))+(E238/1000)/C10+F238</f>
        <v/>
      </c>
      <c r="H238" s="25">
        <f>C238-G238</f>
        <v/>
      </c>
      <c r="I238" s="25">
        <f>C6+(E238/1000)/C7</f>
        <v/>
      </c>
    </row>
    <row r="239" ht="12.95" customHeight="1" s="44">
      <c r="B239" s="27">
        <f>(211/80*(60/C5))</f>
        <v/>
      </c>
      <c r="C239" s="27">
        <f>IF(MOD((211/80*(60/C5)),(60/C5))&lt;(60/C5*C9),C6+C4,C6)</f>
        <v/>
      </c>
      <c r="D239" s="27">
        <f>IF(MOD((211/80*(60/C5)),(60/C5))&lt;(60/C5*C9),(C4/C8)*EXP(-MOD((211/80*(60/C5)),(60/C5))/(C8*C7))*60,-((C4*C7*(1-EXP(-(60/C5*C9)/(C8*C7))))/(C8*C7))*EXP(-(MOD((211/80*(60/C5)),(60/C5))-(60/C5*C9))/(C8*C7))*60)</f>
        <v/>
      </c>
      <c r="E239" s="28">
        <f>(IF(MOD((211/80*(60/C5)),(60/C5))&lt;(60/C5*C9),C4*C7*(1-EXP(-MOD((211/80*(60/C5)),(60/C5))/(C8*C7))),(C4*C7*(1-EXP(-(60/C5*C9)/(C8*C7))))*EXP(-(MOD((211/80*(60/C5)),(60/C5))-(60/C5*C9))/(C8*C7))))*1000</f>
        <v/>
      </c>
      <c r="F239" s="27">
        <f>IF(AND(MOD((211/80*(60/C5)),(60/C5))&lt;(60/C5*C9),MOD((211/80*(60/C5)),(60/C5))&lt;C12),-ABS(C11)*SIN(PI()*MOD((211/80*(60/C5)),(60/C5))/C12),0)</f>
        <v/>
      </c>
      <c r="G239" s="27">
        <f>C6*(C10/(C7+C10))+(E239/1000)/C10+F239</f>
        <v/>
      </c>
      <c r="H239" s="27">
        <f>C239-G239</f>
        <v/>
      </c>
      <c r="I239" s="27">
        <f>C6+(E239/1000)/C7</f>
        <v/>
      </c>
    </row>
    <row r="240" ht="12.95" customHeight="1" s="44">
      <c r="B240" s="25">
        <f>(212/80*(60/C5))</f>
        <v/>
      </c>
      <c r="C240" s="25">
        <f>IF(MOD((212/80*(60/C5)),(60/C5))&lt;(60/C5*C9),C6+C4,C6)</f>
        <v/>
      </c>
      <c r="D240" s="25">
        <f>IF(MOD((212/80*(60/C5)),(60/C5))&lt;(60/C5*C9),(C4/C8)*EXP(-MOD((212/80*(60/C5)),(60/C5))/(C8*C7))*60,-((C4*C7*(1-EXP(-(60/C5*C9)/(C8*C7))))/(C8*C7))*EXP(-(MOD((212/80*(60/C5)),(60/C5))-(60/C5*C9))/(C8*C7))*60)</f>
        <v/>
      </c>
      <c r="E240" s="26">
        <f>(IF(MOD((212/80*(60/C5)),(60/C5))&lt;(60/C5*C9),C4*C7*(1-EXP(-MOD((212/80*(60/C5)),(60/C5))/(C8*C7))),(C4*C7*(1-EXP(-(60/C5*C9)/(C8*C7))))*EXP(-(MOD((212/80*(60/C5)),(60/C5))-(60/C5*C9))/(C8*C7))))*1000</f>
        <v/>
      </c>
      <c r="F240" s="25">
        <f>IF(AND(MOD((212/80*(60/C5)),(60/C5))&lt;(60/C5*C9),MOD((212/80*(60/C5)),(60/C5))&lt;C12),-ABS(C11)*SIN(PI()*MOD((212/80*(60/C5)),(60/C5))/C12),0)</f>
        <v/>
      </c>
      <c r="G240" s="25">
        <f>C6*(C10/(C7+C10))+(E240/1000)/C10+F240</f>
        <v/>
      </c>
      <c r="H240" s="25">
        <f>C240-G240</f>
        <v/>
      </c>
      <c r="I240" s="25">
        <f>C6+(E240/1000)/C7</f>
        <v/>
      </c>
    </row>
    <row r="241" ht="12.95" customHeight="1" s="44">
      <c r="B241" s="27">
        <f>(213/80*(60/C5))</f>
        <v/>
      </c>
      <c r="C241" s="27">
        <f>IF(MOD((213/80*(60/C5)),(60/C5))&lt;(60/C5*C9),C6+C4,C6)</f>
        <v/>
      </c>
      <c r="D241" s="27">
        <f>IF(MOD((213/80*(60/C5)),(60/C5))&lt;(60/C5*C9),(C4/C8)*EXP(-MOD((213/80*(60/C5)),(60/C5))/(C8*C7))*60,-((C4*C7*(1-EXP(-(60/C5*C9)/(C8*C7))))/(C8*C7))*EXP(-(MOD((213/80*(60/C5)),(60/C5))-(60/C5*C9))/(C8*C7))*60)</f>
        <v/>
      </c>
      <c r="E241" s="28">
        <f>(IF(MOD((213/80*(60/C5)),(60/C5))&lt;(60/C5*C9),C4*C7*(1-EXP(-MOD((213/80*(60/C5)),(60/C5))/(C8*C7))),(C4*C7*(1-EXP(-(60/C5*C9)/(C8*C7))))*EXP(-(MOD((213/80*(60/C5)),(60/C5))-(60/C5*C9))/(C8*C7))))*1000</f>
        <v/>
      </c>
      <c r="F241" s="27">
        <f>IF(AND(MOD((213/80*(60/C5)),(60/C5))&lt;(60/C5*C9),MOD((213/80*(60/C5)),(60/C5))&lt;C12),-ABS(C11)*SIN(PI()*MOD((213/80*(60/C5)),(60/C5))/C12),0)</f>
        <v/>
      </c>
      <c r="G241" s="27">
        <f>C6*(C10/(C7+C10))+(E241/1000)/C10+F241</f>
        <v/>
      </c>
      <c r="H241" s="27">
        <f>C241-G241</f>
        <v/>
      </c>
      <c r="I241" s="27">
        <f>C6+(E241/1000)/C7</f>
        <v/>
      </c>
    </row>
    <row r="242" ht="12.95" customHeight="1" s="44">
      <c r="B242" s="25">
        <f>(214/80*(60/C5))</f>
        <v/>
      </c>
      <c r="C242" s="25">
        <f>IF(MOD((214/80*(60/C5)),(60/C5))&lt;(60/C5*C9),C6+C4,C6)</f>
        <v/>
      </c>
      <c r="D242" s="25">
        <f>IF(MOD((214/80*(60/C5)),(60/C5))&lt;(60/C5*C9),(C4/C8)*EXP(-MOD((214/80*(60/C5)),(60/C5))/(C8*C7))*60,-((C4*C7*(1-EXP(-(60/C5*C9)/(C8*C7))))/(C8*C7))*EXP(-(MOD((214/80*(60/C5)),(60/C5))-(60/C5*C9))/(C8*C7))*60)</f>
        <v/>
      </c>
      <c r="E242" s="26">
        <f>(IF(MOD((214/80*(60/C5)),(60/C5))&lt;(60/C5*C9),C4*C7*(1-EXP(-MOD((214/80*(60/C5)),(60/C5))/(C8*C7))),(C4*C7*(1-EXP(-(60/C5*C9)/(C8*C7))))*EXP(-(MOD((214/80*(60/C5)),(60/C5))-(60/C5*C9))/(C8*C7))))*1000</f>
        <v/>
      </c>
      <c r="F242" s="25">
        <f>IF(AND(MOD((214/80*(60/C5)),(60/C5))&lt;(60/C5*C9),MOD((214/80*(60/C5)),(60/C5))&lt;C12),-ABS(C11)*SIN(PI()*MOD((214/80*(60/C5)),(60/C5))/C12),0)</f>
        <v/>
      </c>
      <c r="G242" s="25">
        <f>C6*(C10/(C7+C10))+(E242/1000)/C10+F242</f>
        <v/>
      </c>
      <c r="H242" s="25">
        <f>C242-G242</f>
        <v/>
      </c>
      <c r="I242" s="25">
        <f>C6+(E242/1000)/C7</f>
        <v/>
      </c>
    </row>
    <row r="243" ht="12.95" customHeight="1" s="44">
      <c r="B243" s="27">
        <f>(215/80*(60/C5))</f>
        <v/>
      </c>
      <c r="C243" s="27">
        <f>IF(MOD((215/80*(60/C5)),(60/C5))&lt;(60/C5*C9),C6+C4,C6)</f>
        <v/>
      </c>
      <c r="D243" s="27">
        <f>IF(MOD((215/80*(60/C5)),(60/C5))&lt;(60/C5*C9),(C4/C8)*EXP(-MOD((215/80*(60/C5)),(60/C5))/(C8*C7))*60,-((C4*C7*(1-EXP(-(60/C5*C9)/(C8*C7))))/(C8*C7))*EXP(-(MOD((215/80*(60/C5)),(60/C5))-(60/C5*C9))/(C8*C7))*60)</f>
        <v/>
      </c>
      <c r="E243" s="28">
        <f>(IF(MOD((215/80*(60/C5)),(60/C5))&lt;(60/C5*C9),C4*C7*(1-EXP(-MOD((215/80*(60/C5)),(60/C5))/(C8*C7))),(C4*C7*(1-EXP(-(60/C5*C9)/(C8*C7))))*EXP(-(MOD((215/80*(60/C5)),(60/C5))-(60/C5*C9))/(C8*C7))))*1000</f>
        <v/>
      </c>
      <c r="F243" s="27">
        <f>IF(AND(MOD((215/80*(60/C5)),(60/C5))&lt;(60/C5*C9),MOD((215/80*(60/C5)),(60/C5))&lt;C12),-ABS(C11)*SIN(PI()*MOD((215/80*(60/C5)),(60/C5))/C12),0)</f>
        <v/>
      </c>
      <c r="G243" s="27">
        <f>C6*(C10/(C7+C10))+(E243/1000)/C10+F243</f>
        <v/>
      </c>
      <c r="H243" s="27">
        <f>C243-G243</f>
        <v/>
      </c>
      <c r="I243" s="27">
        <f>C6+(E243/1000)/C7</f>
        <v/>
      </c>
    </row>
    <row r="244" ht="12.95" customHeight="1" s="44">
      <c r="B244" s="25">
        <f>(216/80*(60/C5))</f>
        <v/>
      </c>
      <c r="C244" s="25">
        <f>IF(MOD((216/80*(60/C5)),(60/C5))&lt;(60/C5*C9),C6+C4,C6)</f>
        <v/>
      </c>
      <c r="D244" s="25">
        <f>IF(MOD((216/80*(60/C5)),(60/C5))&lt;(60/C5*C9),(C4/C8)*EXP(-MOD((216/80*(60/C5)),(60/C5))/(C8*C7))*60,-((C4*C7*(1-EXP(-(60/C5*C9)/(C8*C7))))/(C8*C7))*EXP(-(MOD((216/80*(60/C5)),(60/C5))-(60/C5*C9))/(C8*C7))*60)</f>
        <v/>
      </c>
      <c r="E244" s="26">
        <f>(IF(MOD((216/80*(60/C5)),(60/C5))&lt;(60/C5*C9),C4*C7*(1-EXP(-MOD((216/80*(60/C5)),(60/C5))/(C8*C7))),(C4*C7*(1-EXP(-(60/C5*C9)/(C8*C7))))*EXP(-(MOD((216/80*(60/C5)),(60/C5))-(60/C5*C9))/(C8*C7))))*1000</f>
        <v/>
      </c>
      <c r="F244" s="25">
        <f>IF(AND(MOD((216/80*(60/C5)),(60/C5))&lt;(60/C5*C9),MOD((216/80*(60/C5)),(60/C5))&lt;C12),-ABS(C11)*SIN(PI()*MOD((216/80*(60/C5)),(60/C5))/C12),0)</f>
        <v/>
      </c>
      <c r="G244" s="25">
        <f>C6*(C10/(C7+C10))+(E244/1000)/C10+F244</f>
        <v/>
      </c>
      <c r="H244" s="25">
        <f>C244-G244</f>
        <v/>
      </c>
      <c r="I244" s="25">
        <f>C6+(E244/1000)/C7</f>
        <v/>
      </c>
    </row>
    <row r="245" ht="12.95" customHeight="1" s="44">
      <c r="B245" s="27">
        <f>(217/80*(60/C5))</f>
        <v/>
      </c>
      <c r="C245" s="27">
        <f>IF(MOD((217/80*(60/C5)),(60/C5))&lt;(60/C5*C9),C6+C4,C6)</f>
        <v/>
      </c>
      <c r="D245" s="27">
        <f>IF(MOD((217/80*(60/C5)),(60/C5))&lt;(60/C5*C9),(C4/C8)*EXP(-MOD((217/80*(60/C5)),(60/C5))/(C8*C7))*60,-((C4*C7*(1-EXP(-(60/C5*C9)/(C8*C7))))/(C8*C7))*EXP(-(MOD((217/80*(60/C5)),(60/C5))-(60/C5*C9))/(C8*C7))*60)</f>
        <v/>
      </c>
      <c r="E245" s="28">
        <f>(IF(MOD((217/80*(60/C5)),(60/C5))&lt;(60/C5*C9),C4*C7*(1-EXP(-MOD((217/80*(60/C5)),(60/C5))/(C8*C7))),(C4*C7*(1-EXP(-(60/C5*C9)/(C8*C7))))*EXP(-(MOD((217/80*(60/C5)),(60/C5))-(60/C5*C9))/(C8*C7))))*1000</f>
        <v/>
      </c>
      <c r="F245" s="27">
        <f>IF(AND(MOD((217/80*(60/C5)),(60/C5))&lt;(60/C5*C9),MOD((217/80*(60/C5)),(60/C5))&lt;C12),-ABS(C11)*SIN(PI()*MOD((217/80*(60/C5)),(60/C5))/C12),0)</f>
        <v/>
      </c>
      <c r="G245" s="27">
        <f>C6*(C10/(C7+C10))+(E245/1000)/C10+F245</f>
        <v/>
      </c>
      <c r="H245" s="27">
        <f>C245-G245</f>
        <v/>
      </c>
      <c r="I245" s="27">
        <f>C6+(E245/1000)/C7</f>
        <v/>
      </c>
    </row>
    <row r="246" ht="12.95" customHeight="1" s="44">
      <c r="B246" s="25">
        <f>(218/80*(60/C5))</f>
        <v/>
      </c>
      <c r="C246" s="25">
        <f>IF(MOD((218/80*(60/C5)),(60/C5))&lt;(60/C5*C9),C6+C4,C6)</f>
        <v/>
      </c>
      <c r="D246" s="25">
        <f>IF(MOD((218/80*(60/C5)),(60/C5))&lt;(60/C5*C9),(C4/C8)*EXP(-MOD((218/80*(60/C5)),(60/C5))/(C8*C7))*60,-((C4*C7*(1-EXP(-(60/C5*C9)/(C8*C7))))/(C8*C7))*EXP(-(MOD((218/80*(60/C5)),(60/C5))-(60/C5*C9))/(C8*C7))*60)</f>
        <v/>
      </c>
      <c r="E246" s="26">
        <f>(IF(MOD((218/80*(60/C5)),(60/C5))&lt;(60/C5*C9),C4*C7*(1-EXP(-MOD((218/80*(60/C5)),(60/C5))/(C8*C7))),(C4*C7*(1-EXP(-(60/C5*C9)/(C8*C7))))*EXP(-(MOD((218/80*(60/C5)),(60/C5))-(60/C5*C9))/(C8*C7))))*1000</f>
        <v/>
      </c>
      <c r="F246" s="25">
        <f>IF(AND(MOD((218/80*(60/C5)),(60/C5))&lt;(60/C5*C9),MOD((218/80*(60/C5)),(60/C5))&lt;C12),-ABS(C11)*SIN(PI()*MOD((218/80*(60/C5)),(60/C5))/C12),0)</f>
        <v/>
      </c>
      <c r="G246" s="25">
        <f>C6*(C10/(C7+C10))+(E246/1000)/C10+F246</f>
        <v/>
      </c>
      <c r="H246" s="25">
        <f>C246-G246</f>
        <v/>
      </c>
      <c r="I246" s="25">
        <f>C6+(E246/1000)/C7</f>
        <v/>
      </c>
    </row>
    <row r="247" ht="12.95" customHeight="1" s="44">
      <c r="B247" s="27">
        <f>(219/80*(60/C5))</f>
        <v/>
      </c>
      <c r="C247" s="27">
        <f>IF(MOD((219/80*(60/C5)),(60/C5))&lt;(60/C5*C9),C6+C4,C6)</f>
        <v/>
      </c>
      <c r="D247" s="27">
        <f>IF(MOD((219/80*(60/C5)),(60/C5))&lt;(60/C5*C9),(C4/C8)*EXP(-MOD((219/80*(60/C5)),(60/C5))/(C8*C7))*60,-((C4*C7*(1-EXP(-(60/C5*C9)/(C8*C7))))/(C8*C7))*EXP(-(MOD((219/80*(60/C5)),(60/C5))-(60/C5*C9))/(C8*C7))*60)</f>
        <v/>
      </c>
      <c r="E247" s="28">
        <f>(IF(MOD((219/80*(60/C5)),(60/C5))&lt;(60/C5*C9),C4*C7*(1-EXP(-MOD((219/80*(60/C5)),(60/C5))/(C8*C7))),(C4*C7*(1-EXP(-(60/C5*C9)/(C8*C7))))*EXP(-(MOD((219/80*(60/C5)),(60/C5))-(60/C5*C9))/(C8*C7))))*1000</f>
        <v/>
      </c>
      <c r="F247" s="27">
        <f>IF(AND(MOD((219/80*(60/C5)),(60/C5))&lt;(60/C5*C9),MOD((219/80*(60/C5)),(60/C5))&lt;C12),-ABS(C11)*SIN(PI()*MOD((219/80*(60/C5)),(60/C5))/C12),0)</f>
        <v/>
      </c>
      <c r="G247" s="27">
        <f>C6*(C10/(C7+C10))+(E247/1000)/C10+F247</f>
        <v/>
      </c>
      <c r="H247" s="27">
        <f>C247-G247</f>
        <v/>
      </c>
      <c r="I247" s="27">
        <f>C6+(E247/1000)/C7</f>
        <v/>
      </c>
    </row>
    <row r="248" ht="12.95" customHeight="1" s="44">
      <c r="B248" s="25">
        <f>(220/80*(60/C5))</f>
        <v/>
      </c>
      <c r="C248" s="25">
        <f>IF(MOD((220/80*(60/C5)),(60/C5))&lt;(60/C5*C9),C6+C4,C6)</f>
        <v/>
      </c>
      <c r="D248" s="25">
        <f>IF(MOD((220/80*(60/C5)),(60/C5))&lt;(60/C5*C9),(C4/C8)*EXP(-MOD((220/80*(60/C5)),(60/C5))/(C8*C7))*60,-((C4*C7*(1-EXP(-(60/C5*C9)/(C8*C7))))/(C8*C7))*EXP(-(MOD((220/80*(60/C5)),(60/C5))-(60/C5*C9))/(C8*C7))*60)</f>
        <v/>
      </c>
      <c r="E248" s="26">
        <f>(IF(MOD((220/80*(60/C5)),(60/C5))&lt;(60/C5*C9),C4*C7*(1-EXP(-MOD((220/80*(60/C5)),(60/C5))/(C8*C7))),(C4*C7*(1-EXP(-(60/C5*C9)/(C8*C7))))*EXP(-(MOD((220/80*(60/C5)),(60/C5))-(60/C5*C9))/(C8*C7))))*1000</f>
        <v/>
      </c>
      <c r="F248" s="25">
        <f>IF(AND(MOD((220/80*(60/C5)),(60/C5))&lt;(60/C5*C9),MOD((220/80*(60/C5)),(60/C5))&lt;C12),-ABS(C11)*SIN(PI()*MOD((220/80*(60/C5)),(60/C5))/C12),0)</f>
        <v/>
      </c>
      <c r="G248" s="25">
        <f>C6*(C10/(C7+C10))+(E248/1000)/C10+F248</f>
        <v/>
      </c>
      <c r="H248" s="25">
        <f>C248-G248</f>
        <v/>
      </c>
      <c r="I248" s="25">
        <f>C6+(E248/1000)/C7</f>
        <v/>
      </c>
    </row>
    <row r="249" ht="12.95" customHeight="1" s="44">
      <c r="B249" s="27">
        <f>(221/80*(60/C5))</f>
        <v/>
      </c>
      <c r="C249" s="27">
        <f>IF(MOD((221/80*(60/C5)),(60/C5))&lt;(60/C5*C9),C6+C4,C6)</f>
        <v/>
      </c>
      <c r="D249" s="27">
        <f>IF(MOD((221/80*(60/C5)),(60/C5))&lt;(60/C5*C9),(C4/C8)*EXP(-MOD((221/80*(60/C5)),(60/C5))/(C8*C7))*60,-((C4*C7*(1-EXP(-(60/C5*C9)/(C8*C7))))/(C8*C7))*EXP(-(MOD((221/80*(60/C5)),(60/C5))-(60/C5*C9))/(C8*C7))*60)</f>
        <v/>
      </c>
      <c r="E249" s="28">
        <f>(IF(MOD((221/80*(60/C5)),(60/C5))&lt;(60/C5*C9),C4*C7*(1-EXP(-MOD((221/80*(60/C5)),(60/C5))/(C8*C7))),(C4*C7*(1-EXP(-(60/C5*C9)/(C8*C7))))*EXP(-(MOD((221/80*(60/C5)),(60/C5))-(60/C5*C9))/(C8*C7))))*1000</f>
        <v/>
      </c>
      <c r="F249" s="27">
        <f>IF(AND(MOD((221/80*(60/C5)),(60/C5))&lt;(60/C5*C9),MOD((221/80*(60/C5)),(60/C5))&lt;C12),-ABS(C11)*SIN(PI()*MOD((221/80*(60/C5)),(60/C5))/C12),0)</f>
        <v/>
      </c>
      <c r="G249" s="27">
        <f>C6*(C10/(C7+C10))+(E249/1000)/C10+F249</f>
        <v/>
      </c>
      <c r="H249" s="27">
        <f>C249-G249</f>
        <v/>
      </c>
      <c r="I249" s="27">
        <f>C6+(E249/1000)/C7</f>
        <v/>
      </c>
    </row>
    <row r="250" ht="12.95" customHeight="1" s="44">
      <c r="B250" s="25">
        <f>(222/80*(60/C5))</f>
        <v/>
      </c>
      <c r="C250" s="25">
        <f>IF(MOD((222/80*(60/C5)),(60/C5))&lt;(60/C5*C9),C6+C4,C6)</f>
        <v/>
      </c>
      <c r="D250" s="25">
        <f>IF(MOD((222/80*(60/C5)),(60/C5))&lt;(60/C5*C9),(C4/C8)*EXP(-MOD((222/80*(60/C5)),(60/C5))/(C8*C7))*60,-((C4*C7*(1-EXP(-(60/C5*C9)/(C8*C7))))/(C8*C7))*EXP(-(MOD((222/80*(60/C5)),(60/C5))-(60/C5*C9))/(C8*C7))*60)</f>
        <v/>
      </c>
      <c r="E250" s="26">
        <f>(IF(MOD((222/80*(60/C5)),(60/C5))&lt;(60/C5*C9),C4*C7*(1-EXP(-MOD((222/80*(60/C5)),(60/C5))/(C8*C7))),(C4*C7*(1-EXP(-(60/C5*C9)/(C8*C7))))*EXP(-(MOD((222/80*(60/C5)),(60/C5))-(60/C5*C9))/(C8*C7))))*1000</f>
        <v/>
      </c>
      <c r="F250" s="25">
        <f>IF(AND(MOD((222/80*(60/C5)),(60/C5))&lt;(60/C5*C9),MOD((222/80*(60/C5)),(60/C5))&lt;C12),-ABS(C11)*SIN(PI()*MOD((222/80*(60/C5)),(60/C5))/C12),0)</f>
        <v/>
      </c>
      <c r="G250" s="25">
        <f>C6*(C10/(C7+C10))+(E250/1000)/C10+F250</f>
        <v/>
      </c>
      <c r="H250" s="25">
        <f>C250-G250</f>
        <v/>
      </c>
      <c r="I250" s="25">
        <f>C6+(E250/1000)/C7</f>
        <v/>
      </c>
    </row>
    <row r="251" ht="12.95" customHeight="1" s="44">
      <c r="B251" s="27">
        <f>(223/80*(60/C5))</f>
        <v/>
      </c>
      <c r="C251" s="27">
        <f>IF(MOD((223/80*(60/C5)),(60/C5))&lt;(60/C5*C9),C6+C4,C6)</f>
        <v/>
      </c>
      <c r="D251" s="27">
        <f>IF(MOD((223/80*(60/C5)),(60/C5))&lt;(60/C5*C9),(C4/C8)*EXP(-MOD((223/80*(60/C5)),(60/C5))/(C8*C7))*60,-((C4*C7*(1-EXP(-(60/C5*C9)/(C8*C7))))/(C8*C7))*EXP(-(MOD((223/80*(60/C5)),(60/C5))-(60/C5*C9))/(C8*C7))*60)</f>
        <v/>
      </c>
      <c r="E251" s="28">
        <f>(IF(MOD((223/80*(60/C5)),(60/C5))&lt;(60/C5*C9),C4*C7*(1-EXP(-MOD((223/80*(60/C5)),(60/C5))/(C8*C7))),(C4*C7*(1-EXP(-(60/C5*C9)/(C8*C7))))*EXP(-(MOD((223/80*(60/C5)),(60/C5))-(60/C5*C9))/(C8*C7))))*1000</f>
        <v/>
      </c>
      <c r="F251" s="27">
        <f>IF(AND(MOD((223/80*(60/C5)),(60/C5))&lt;(60/C5*C9),MOD((223/80*(60/C5)),(60/C5))&lt;C12),-ABS(C11)*SIN(PI()*MOD((223/80*(60/C5)),(60/C5))/C12),0)</f>
        <v/>
      </c>
      <c r="G251" s="27">
        <f>C6*(C10/(C7+C10))+(E251/1000)/C10+F251</f>
        <v/>
      </c>
      <c r="H251" s="27">
        <f>C251-G251</f>
        <v/>
      </c>
      <c r="I251" s="27">
        <f>C6+(E251/1000)/C7</f>
        <v/>
      </c>
    </row>
    <row r="252" ht="12.95" customHeight="1" s="44">
      <c r="B252" s="25">
        <f>(224/80*(60/C5))</f>
        <v/>
      </c>
      <c r="C252" s="25">
        <f>IF(MOD((224/80*(60/C5)),(60/C5))&lt;(60/C5*C9),C6+C4,C6)</f>
        <v/>
      </c>
      <c r="D252" s="25">
        <f>IF(MOD((224/80*(60/C5)),(60/C5))&lt;(60/C5*C9),(C4/C8)*EXP(-MOD((224/80*(60/C5)),(60/C5))/(C8*C7))*60,-((C4*C7*(1-EXP(-(60/C5*C9)/(C8*C7))))/(C8*C7))*EXP(-(MOD((224/80*(60/C5)),(60/C5))-(60/C5*C9))/(C8*C7))*60)</f>
        <v/>
      </c>
      <c r="E252" s="26">
        <f>(IF(MOD((224/80*(60/C5)),(60/C5))&lt;(60/C5*C9),C4*C7*(1-EXP(-MOD((224/80*(60/C5)),(60/C5))/(C8*C7))),(C4*C7*(1-EXP(-(60/C5*C9)/(C8*C7))))*EXP(-(MOD((224/80*(60/C5)),(60/C5))-(60/C5*C9))/(C8*C7))))*1000</f>
        <v/>
      </c>
      <c r="F252" s="25">
        <f>IF(AND(MOD((224/80*(60/C5)),(60/C5))&lt;(60/C5*C9),MOD((224/80*(60/C5)),(60/C5))&lt;C12),-ABS(C11)*SIN(PI()*MOD((224/80*(60/C5)),(60/C5))/C12),0)</f>
        <v/>
      </c>
      <c r="G252" s="25">
        <f>C6*(C10/(C7+C10))+(E252/1000)/C10+F252</f>
        <v/>
      </c>
      <c r="H252" s="25">
        <f>C252-G252</f>
        <v/>
      </c>
      <c r="I252" s="25">
        <f>C6+(E252/1000)/C7</f>
        <v/>
      </c>
    </row>
    <row r="253" ht="12.95" customHeight="1" s="44">
      <c r="B253" s="27">
        <f>(225/80*(60/C5))</f>
        <v/>
      </c>
      <c r="C253" s="27">
        <f>IF(MOD((225/80*(60/C5)),(60/C5))&lt;(60/C5*C9),C6+C4,C6)</f>
        <v/>
      </c>
      <c r="D253" s="27">
        <f>IF(MOD((225/80*(60/C5)),(60/C5))&lt;(60/C5*C9),(C4/C8)*EXP(-MOD((225/80*(60/C5)),(60/C5))/(C8*C7))*60,-((C4*C7*(1-EXP(-(60/C5*C9)/(C8*C7))))/(C8*C7))*EXP(-(MOD((225/80*(60/C5)),(60/C5))-(60/C5*C9))/(C8*C7))*60)</f>
        <v/>
      </c>
      <c r="E253" s="28">
        <f>(IF(MOD((225/80*(60/C5)),(60/C5))&lt;(60/C5*C9),C4*C7*(1-EXP(-MOD((225/80*(60/C5)),(60/C5))/(C8*C7))),(C4*C7*(1-EXP(-(60/C5*C9)/(C8*C7))))*EXP(-(MOD((225/80*(60/C5)),(60/C5))-(60/C5*C9))/(C8*C7))))*1000</f>
        <v/>
      </c>
      <c r="F253" s="27">
        <f>IF(AND(MOD((225/80*(60/C5)),(60/C5))&lt;(60/C5*C9),MOD((225/80*(60/C5)),(60/C5))&lt;C12),-ABS(C11)*SIN(PI()*MOD((225/80*(60/C5)),(60/C5))/C12),0)</f>
        <v/>
      </c>
      <c r="G253" s="27">
        <f>C6*(C10/(C7+C10))+(E253/1000)/C10+F253</f>
        <v/>
      </c>
      <c r="H253" s="27">
        <f>C253-G253</f>
        <v/>
      </c>
      <c r="I253" s="27">
        <f>C6+(E253/1000)/C7</f>
        <v/>
      </c>
    </row>
    <row r="254" ht="12.95" customHeight="1" s="44">
      <c r="B254" s="25">
        <f>(226/80*(60/C5))</f>
        <v/>
      </c>
      <c r="C254" s="25">
        <f>IF(MOD((226/80*(60/C5)),(60/C5))&lt;(60/C5*C9),C6+C4,C6)</f>
        <v/>
      </c>
      <c r="D254" s="25">
        <f>IF(MOD((226/80*(60/C5)),(60/C5))&lt;(60/C5*C9),(C4/C8)*EXP(-MOD((226/80*(60/C5)),(60/C5))/(C8*C7))*60,-((C4*C7*(1-EXP(-(60/C5*C9)/(C8*C7))))/(C8*C7))*EXP(-(MOD((226/80*(60/C5)),(60/C5))-(60/C5*C9))/(C8*C7))*60)</f>
        <v/>
      </c>
      <c r="E254" s="26">
        <f>(IF(MOD((226/80*(60/C5)),(60/C5))&lt;(60/C5*C9),C4*C7*(1-EXP(-MOD((226/80*(60/C5)),(60/C5))/(C8*C7))),(C4*C7*(1-EXP(-(60/C5*C9)/(C8*C7))))*EXP(-(MOD((226/80*(60/C5)),(60/C5))-(60/C5*C9))/(C8*C7))))*1000</f>
        <v/>
      </c>
      <c r="F254" s="25">
        <f>IF(AND(MOD((226/80*(60/C5)),(60/C5))&lt;(60/C5*C9),MOD((226/80*(60/C5)),(60/C5))&lt;C12),-ABS(C11)*SIN(PI()*MOD((226/80*(60/C5)),(60/C5))/C12),0)</f>
        <v/>
      </c>
      <c r="G254" s="25">
        <f>C6*(C10/(C7+C10))+(E254/1000)/C10+F254</f>
        <v/>
      </c>
      <c r="H254" s="25">
        <f>C254-G254</f>
        <v/>
      </c>
      <c r="I254" s="25">
        <f>C6+(E254/1000)/C7</f>
        <v/>
      </c>
    </row>
    <row r="255" ht="12.95" customHeight="1" s="44">
      <c r="B255" s="27">
        <f>(227/80*(60/C5))</f>
        <v/>
      </c>
      <c r="C255" s="27">
        <f>IF(MOD((227/80*(60/C5)),(60/C5))&lt;(60/C5*C9),C6+C4,C6)</f>
        <v/>
      </c>
      <c r="D255" s="27">
        <f>IF(MOD((227/80*(60/C5)),(60/C5))&lt;(60/C5*C9),(C4/C8)*EXP(-MOD((227/80*(60/C5)),(60/C5))/(C8*C7))*60,-((C4*C7*(1-EXP(-(60/C5*C9)/(C8*C7))))/(C8*C7))*EXP(-(MOD((227/80*(60/C5)),(60/C5))-(60/C5*C9))/(C8*C7))*60)</f>
        <v/>
      </c>
      <c r="E255" s="28">
        <f>(IF(MOD((227/80*(60/C5)),(60/C5))&lt;(60/C5*C9),C4*C7*(1-EXP(-MOD((227/80*(60/C5)),(60/C5))/(C8*C7))),(C4*C7*(1-EXP(-(60/C5*C9)/(C8*C7))))*EXP(-(MOD((227/80*(60/C5)),(60/C5))-(60/C5*C9))/(C8*C7))))*1000</f>
        <v/>
      </c>
      <c r="F255" s="27">
        <f>IF(AND(MOD((227/80*(60/C5)),(60/C5))&lt;(60/C5*C9),MOD((227/80*(60/C5)),(60/C5))&lt;C12),-ABS(C11)*SIN(PI()*MOD((227/80*(60/C5)),(60/C5))/C12),0)</f>
        <v/>
      </c>
      <c r="G255" s="27">
        <f>C6*(C10/(C7+C10))+(E255/1000)/C10+F255</f>
        <v/>
      </c>
      <c r="H255" s="27">
        <f>C255-G255</f>
        <v/>
      </c>
      <c r="I255" s="27">
        <f>C6+(E255/1000)/C7</f>
        <v/>
      </c>
    </row>
    <row r="256" ht="12.95" customHeight="1" s="44">
      <c r="B256" s="25">
        <f>(228/80*(60/C5))</f>
        <v/>
      </c>
      <c r="C256" s="25">
        <f>IF(MOD((228/80*(60/C5)),(60/C5))&lt;(60/C5*C9),C6+C4,C6)</f>
        <v/>
      </c>
      <c r="D256" s="25">
        <f>IF(MOD((228/80*(60/C5)),(60/C5))&lt;(60/C5*C9),(C4/C8)*EXP(-MOD((228/80*(60/C5)),(60/C5))/(C8*C7))*60,-((C4*C7*(1-EXP(-(60/C5*C9)/(C8*C7))))/(C8*C7))*EXP(-(MOD((228/80*(60/C5)),(60/C5))-(60/C5*C9))/(C8*C7))*60)</f>
        <v/>
      </c>
      <c r="E256" s="26">
        <f>(IF(MOD((228/80*(60/C5)),(60/C5))&lt;(60/C5*C9),C4*C7*(1-EXP(-MOD((228/80*(60/C5)),(60/C5))/(C8*C7))),(C4*C7*(1-EXP(-(60/C5*C9)/(C8*C7))))*EXP(-(MOD((228/80*(60/C5)),(60/C5))-(60/C5*C9))/(C8*C7))))*1000</f>
        <v/>
      </c>
      <c r="F256" s="25">
        <f>IF(AND(MOD((228/80*(60/C5)),(60/C5))&lt;(60/C5*C9),MOD((228/80*(60/C5)),(60/C5))&lt;C12),-ABS(C11)*SIN(PI()*MOD((228/80*(60/C5)),(60/C5))/C12),0)</f>
        <v/>
      </c>
      <c r="G256" s="25">
        <f>C6*(C10/(C7+C10))+(E256/1000)/C10+F256</f>
        <v/>
      </c>
      <c r="H256" s="25">
        <f>C256-G256</f>
        <v/>
      </c>
      <c r="I256" s="25">
        <f>C6+(E256/1000)/C7</f>
        <v/>
      </c>
    </row>
    <row r="257" ht="12.95" customHeight="1" s="44">
      <c r="B257" s="27">
        <f>(229/80*(60/C5))</f>
        <v/>
      </c>
      <c r="C257" s="27">
        <f>IF(MOD((229/80*(60/C5)),(60/C5))&lt;(60/C5*C9),C6+C4,C6)</f>
        <v/>
      </c>
      <c r="D257" s="27">
        <f>IF(MOD((229/80*(60/C5)),(60/C5))&lt;(60/C5*C9),(C4/C8)*EXP(-MOD((229/80*(60/C5)),(60/C5))/(C8*C7))*60,-((C4*C7*(1-EXP(-(60/C5*C9)/(C8*C7))))/(C8*C7))*EXP(-(MOD((229/80*(60/C5)),(60/C5))-(60/C5*C9))/(C8*C7))*60)</f>
        <v/>
      </c>
      <c r="E257" s="28">
        <f>(IF(MOD((229/80*(60/C5)),(60/C5))&lt;(60/C5*C9),C4*C7*(1-EXP(-MOD((229/80*(60/C5)),(60/C5))/(C8*C7))),(C4*C7*(1-EXP(-(60/C5*C9)/(C8*C7))))*EXP(-(MOD((229/80*(60/C5)),(60/C5))-(60/C5*C9))/(C8*C7))))*1000</f>
        <v/>
      </c>
      <c r="F257" s="27">
        <f>IF(AND(MOD((229/80*(60/C5)),(60/C5))&lt;(60/C5*C9),MOD((229/80*(60/C5)),(60/C5))&lt;C12),-ABS(C11)*SIN(PI()*MOD((229/80*(60/C5)),(60/C5))/C12),0)</f>
        <v/>
      </c>
      <c r="G257" s="27">
        <f>C6*(C10/(C7+C10))+(E257/1000)/C10+F257</f>
        <v/>
      </c>
      <c r="H257" s="27">
        <f>C257-G257</f>
        <v/>
      </c>
      <c r="I257" s="27">
        <f>C6+(E257/1000)/C7</f>
        <v/>
      </c>
    </row>
    <row r="258" ht="12.95" customHeight="1" s="44">
      <c r="B258" s="25">
        <f>(230/80*(60/C5))</f>
        <v/>
      </c>
      <c r="C258" s="25">
        <f>IF(MOD((230/80*(60/C5)),(60/C5))&lt;(60/C5*C9),C6+C4,C6)</f>
        <v/>
      </c>
      <c r="D258" s="25">
        <f>IF(MOD((230/80*(60/C5)),(60/C5))&lt;(60/C5*C9),(C4/C8)*EXP(-MOD((230/80*(60/C5)),(60/C5))/(C8*C7))*60,-((C4*C7*(1-EXP(-(60/C5*C9)/(C8*C7))))/(C8*C7))*EXP(-(MOD((230/80*(60/C5)),(60/C5))-(60/C5*C9))/(C8*C7))*60)</f>
        <v/>
      </c>
      <c r="E258" s="26">
        <f>(IF(MOD((230/80*(60/C5)),(60/C5))&lt;(60/C5*C9),C4*C7*(1-EXP(-MOD((230/80*(60/C5)),(60/C5))/(C8*C7))),(C4*C7*(1-EXP(-(60/C5*C9)/(C8*C7))))*EXP(-(MOD((230/80*(60/C5)),(60/C5))-(60/C5*C9))/(C8*C7))))*1000</f>
        <v/>
      </c>
      <c r="F258" s="25">
        <f>IF(AND(MOD((230/80*(60/C5)),(60/C5))&lt;(60/C5*C9),MOD((230/80*(60/C5)),(60/C5))&lt;C12),-ABS(C11)*SIN(PI()*MOD((230/80*(60/C5)),(60/C5))/C12),0)</f>
        <v/>
      </c>
      <c r="G258" s="25">
        <f>C6*(C10/(C7+C10))+(E258/1000)/C10+F258</f>
        <v/>
      </c>
      <c r="H258" s="25">
        <f>C258-G258</f>
        <v/>
      </c>
      <c r="I258" s="25">
        <f>C6+(E258/1000)/C7</f>
        <v/>
      </c>
    </row>
    <row r="259" ht="12.95" customHeight="1" s="44">
      <c r="B259" s="27">
        <f>(231/80*(60/C5))</f>
        <v/>
      </c>
      <c r="C259" s="27">
        <f>IF(MOD((231/80*(60/C5)),(60/C5))&lt;(60/C5*C9),C6+C4,C6)</f>
        <v/>
      </c>
      <c r="D259" s="27">
        <f>IF(MOD((231/80*(60/C5)),(60/C5))&lt;(60/C5*C9),(C4/C8)*EXP(-MOD((231/80*(60/C5)),(60/C5))/(C8*C7))*60,-((C4*C7*(1-EXP(-(60/C5*C9)/(C8*C7))))/(C8*C7))*EXP(-(MOD((231/80*(60/C5)),(60/C5))-(60/C5*C9))/(C8*C7))*60)</f>
        <v/>
      </c>
      <c r="E259" s="28">
        <f>(IF(MOD((231/80*(60/C5)),(60/C5))&lt;(60/C5*C9),C4*C7*(1-EXP(-MOD((231/80*(60/C5)),(60/C5))/(C8*C7))),(C4*C7*(1-EXP(-(60/C5*C9)/(C8*C7))))*EXP(-(MOD((231/80*(60/C5)),(60/C5))-(60/C5*C9))/(C8*C7))))*1000</f>
        <v/>
      </c>
      <c r="F259" s="27">
        <f>IF(AND(MOD((231/80*(60/C5)),(60/C5))&lt;(60/C5*C9),MOD((231/80*(60/C5)),(60/C5))&lt;C12),-ABS(C11)*SIN(PI()*MOD((231/80*(60/C5)),(60/C5))/C12),0)</f>
        <v/>
      </c>
      <c r="G259" s="27">
        <f>C6*(C10/(C7+C10))+(E259/1000)/C10+F259</f>
        <v/>
      </c>
      <c r="H259" s="27">
        <f>C259-G259</f>
        <v/>
      </c>
      <c r="I259" s="27">
        <f>C6+(E259/1000)/C7</f>
        <v/>
      </c>
    </row>
    <row r="260" ht="12.95" customHeight="1" s="44">
      <c r="B260" s="25">
        <f>(232/80*(60/C5))</f>
        <v/>
      </c>
      <c r="C260" s="25">
        <f>IF(MOD((232/80*(60/C5)),(60/C5))&lt;(60/C5*C9),C6+C4,C6)</f>
        <v/>
      </c>
      <c r="D260" s="25">
        <f>IF(MOD((232/80*(60/C5)),(60/C5))&lt;(60/C5*C9),(C4/C8)*EXP(-MOD((232/80*(60/C5)),(60/C5))/(C8*C7))*60,-((C4*C7*(1-EXP(-(60/C5*C9)/(C8*C7))))/(C8*C7))*EXP(-(MOD((232/80*(60/C5)),(60/C5))-(60/C5*C9))/(C8*C7))*60)</f>
        <v/>
      </c>
      <c r="E260" s="26">
        <f>(IF(MOD((232/80*(60/C5)),(60/C5))&lt;(60/C5*C9),C4*C7*(1-EXP(-MOD((232/80*(60/C5)),(60/C5))/(C8*C7))),(C4*C7*(1-EXP(-(60/C5*C9)/(C8*C7))))*EXP(-(MOD((232/80*(60/C5)),(60/C5))-(60/C5*C9))/(C8*C7))))*1000</f>
        <v/>
      </c>
      <c r="F260" s="25">
        <f>IF(AND(MOD((232/80*(60/C5)),(60/C5))&lt;(60/C5*C9),MOD((232/80*(60/C5)),(60/C5))&lt;C12),-ABS(C11)*SIN(PI()*MOD((232/80*(60/C5)),(60/C5))/C12),0)</f>
        <v/>
      </c>
      <c r="G260" s="25">
        <f>C6*(C10/(C7+C10))+(E260/1000)/C10+F260</f>
        <v/>
      </c>
      <c r="H260" s="25">
        <f>C260-G260</f>
        <v/>
      </c>
      <c r="I260" s="25">
        <f>C6+(E260/1000)/C7</f>
        <v/>
      </c>
    </row>
    <row r="261" ht="12.95" customHeight="1" s="44">
      <c r="B261" s="27">
        <f>(233/80*(60/C5))</f>
        <v/>
      </c>
      <c r="C261" s="27">
        <f>IF(MOD((233/80*(60/C5)),(60/C5))&lt;(60/C5*C9),C6+C4,C6)</f>
        <v/>
      </c>
      <c r="D261" s="27">
        <f>IF(MOD((233/80*(60/C5)),(60/C5))&lt;(60/C5*C9),(C4/C8)*EXP(-MOD((233/80*(60/C5)),(60/C5))/(C8*C7))*60,-((C4*C7*(1-EXP(-(60/C5*C9)/(C8*C7))))/(C8*C7))*EXP(-(MOD((233/80*(60/C5)),(60/C5))-(60/C5*C9))/(C8*C7))*60)</f>
        <v/>
      </c>
      <c r="E261" s="28">
        <f>(IF(MOD((233/80*(60/C5)),(60/C5))&lt;(60/C5*C9),C4*C7*(1-EXP(-MOD((233/80*(60/C5)),(60/C5))/(C8*C7))),(C4*C7*(1-EXP(-(60/C5*C9)/(C8*C7))))*EXP(-(MOD((233/80*(60/C5)),(60/C5))-(60/C5*C9))/(C8*C7))))*1000</f>
        <v/>
      </c>
      <c r="F261" s="27">
        <f>IF(AND(MOD((233/80*(60/C5)),(60/C5))&lt;(60/C5*C9),MOD((233/80*(60/C5)),(60/C5))&lt;C12),-ABS(C11)*SIN(PI()*MOD((233/80*(60/C5)),(60/C5))/C12),0)</f>
        <v/>
      </c>
      <c r="G261" s="27">
        <f>C6*(C10/(C7+C10))+(E261/1000)/C10+F261</f>
        <v/>
      </c>
      <c r="H261" s="27">
        <f>C261-G261</f>
        <v/>
      </c>
      <c r="I261" s="27">
        <f>C6+(E261/1000)/C7</f>
        <v/>
      </c>
    </row>
    <row r="262" ht="12.95" customHeight="1" s="44">
      <c r="B262" s="25">
        <f>(234/80*(60/C5))</f>
        <v/>
      </c>
      <c r="C262" s="25">
        <f>IF(MOD((234/80*(60/C5)),(60/C5))&lt;(60/C5*C9),C6+C4,C6)</f>
        <v/>
      </c>
      <c r="D262" s="25">
        <f>IF(MOD((234/80*(60/C5)),(60/C5))&lt;(60/C5*C9),(C4/C8)*EXP(-MOD((234/80*(60/C5)),(60/C5))/(C8*C7))*60,-((C4*C7*(1-EXP(-(60/C5*C9)/(C8*C7))))/(C8*C7))*EXP(-(MOD((234/80*(60/C5)),(60/C5))-(60/C5*C9))/(C8*C7))*60)</f>
        <v/>
      </c>
      <c r="E262" s="26">
        <f>(IF(MOD((234/80*(60/C5)),(60/C5))&lt;(60/C5*C9),C4*C7*(1-EXP(-MOD((234/80*(60/C5)),(60/C5))/(C8*C7))),(C4*C7*(1-EXP(-(60/C5*C9)/(C8*C7))))*EXP(-(MOD((234/80*(60/C5)),(60/C5))-(60/C5*C9))/(C8*C7))))*1000</f>
        <v/>
      </c>
      <c r="F262" s="25">
        <f>IF(AND(MOD((234/80*(60/C5)),(60/C5))&lt;(60/C5*C9),MOD((234/80*(60/C5)),(60/C5))&lt;C12),-ABS(C11)*SIN(PI()*MOD((234/80*(60/C5)),(60/C5))/C12),0)</f>
        <v/>
      </c>
      <c r="G262" s="25">
        <f>C6*(C10/(C7+C10))+(E262/1000)/C10+F262</f>
        <v/>
      </c>
      <c r="H262" s="25">
        <f>C262-G262</f>
        <v/>
      </c>
      <c r="I262" s="25">
        <f>C6+(E262/1000)/C7</f>
        <v/>
      </c>
    </row>
    <row r="263" ht="12.95" customHeight="1" s="44">
      <c r="B263" s="27">
        <f>(235/80*(60/C5))</f>
        <v/>
      </c>
      <c r="C263" s="27">
        <f>IF(MOD((235/80*(60/C5)),(60/C5))&lt;(60/C5*C9),C6+C4,C6)</f>
        <v/>
      </c>
      <c r="D263" s="27">
        <f>IF(MOD((235/80*(60/C5)),(60/C5))&lt;(60/C5*C9),(C4/C8)*EXP(-MOD((235/80*(60/C5)),(60/C5))/(C8*C7))*60,-((C4*C7*(1-EXP(-(60/C5*C9)/(C8*C7))))/(C8*C7))*EXP(-(MOD((235/80*(60/C5)),(60/C5))-(60/C5*C9))/(C8*C7))*60)</f>
        <v/>
      </c>
      <c r="E263" s="28">
        <f>(IF(MOD((235/80*(60/C5)),(60/C5))&lt;(60/C5*C9),C4*C7*(1-EXP(-MOD((235/80*(60/C5)),(60/C5))/(C8*C7))),(C4*C7*(1-EXP(-(60/C5*C9)/(C8*C7))))*EXP(-(MOD((235/80*(60/C5)),(60/C5))-(60/C5*C9))/(C8*C7))))*1000</f>
        <v/>
      </c>
      <c r="F263" s="27">
        <f>IF(AND(MOD((235/80*(60/C5)),(60/C5))&lt;(60/C5*C9),MOD((235/80*(60/C5)),(60/C5))&lt;C12),-ABS(C11)*SIN(PI()*MOD((235/80*(60/C5)),(60/C5))/C12),0)</f>
        <v/>
      </c>
      <c r="G263" s="27">
        <f>C6*(C10/(C7+C10))+(E263/1000)/C10+F263</f>
        <v/>
      </c>
      <c r="H263" s="27">
        <f>C263-G263</f>
        <v/>
      </c>
      <c r="I263" s="27">
        <f>C6+(E263/1000)/C7</f>
        <v/>
      </c>
    </row>
    <row r="264" ht="12.95" customHeight="1" s="44">
      <c r="B264" s="25">
        <f>(236/80*(60/C5))</f>
        <v/>
      </c>
      <c r="C264" s="25">
        <f>IF(MOD((236/80*(60/C5)),(60/C5))&lt;(60/C5*C9),C6+C4,C6)</f>
        <v/>
      </c>
      <c r="D264" s="25">
        <f>IF(MOD((236/80*(60/C5)),(60/C5))&lt;(60/C5*C9),(C4/C8)*EXP(-MOD((236/80*(60/C5)),(60/C5))/(C8*C7))*60,-((C4*C7*(1-EXP(-(60/C5*C9)/(C8*C7))))/(C8*C7))*EXP(-(MOD((236/80*(60/C5)),(60/C5))-(60/C5*C9))/(C8*C7))*60)</f>
        <v/>
      </c>
      <c r="E264" s="26">
        <f>(IF(MOD((236/80*(60/C5)),(60/C5))&lt;(60/C5*C9),C4*C7*(1-EXP(-MOD((236/80*(60/C5)),(60/C5))/(C8*C7))),(C4*C7*(1-EXP(-(60/C5*C9)/(C8*C7))))*EXP(-(MOD((236/80*(60/C5)),(60/C5))-(60/C5*C9))/(C8*C7))))*1000</f>
        <v/>
      </c>
      <c r="F264" s="25">
        <f>IF(AND(MOD((236/80*(60/C5)),(60/C5))&lt;(60/C5*C9),MOD((236/80*(60/C5)),(60/C5))&lt;C12),-ABS(C11)*SIN(PI()*MOD((236/80*(60/C5)),(60/C5))/C12),0)</f>
        <v/>
      </c>
      <c r="G264" s="25">
        <f>C6*(C10/(C7+C10))+(E264/1000)/C10+F264</f>
        <v/>
      </c>
      <c r="H264" s="25">
        <f>C264-G264</f>
        <v/>
      </c>
      <c r="I264" s="25">
        <f>C6+(E264/1000)/C7</f>
        <v/>
      </c>
    </row>
    <row r="265" ht="12.95" customHeight="1" s="44">
      <c r="B265" s="27">
        <f>(237/80*(60/C5))</f>
        <v/>
      </c>
      <c r="C265" s="27">
        <f>IF(MOD((237/80*(60/C5)),(60/C5))&lt;(60/C5*C9),C6+C4,C6)</f>
        <v/>
      </c>
      <c r="D265" s="27">
        <f>IF(MOD((237/80*(60/C5)),(60/C5))&lt;(60/C5*C9),(C4/C8)*EXP(-MOD((237/80*(60/C5)),(60/C5))/(C8*C7))*60,-((C4*C7*(1-EXP(-(60/C5*C9)/(C8*C7))))/(C8*C7))*EXP(-(MOD((237/80*(60/C5)),(60/C5))-(60/C5*C9))/(C8*C7))*60)</f>
        <v/>
      </c>
      <c r="E265" s="28">
        <f>(IF(MOD((237/80*(60/C5)),(60/C5))&lt;(60/C5*C9),C4*C7*(1-EXP(-MOD((237/80*(60/C5)),(60/C5))/(C8*C7))),(C4*C7*(1-EXP(-(60/C5*C9)/(C8*C7))))*EXP(-(MOD((237/80*(60/C5)),(60/C5))-(60/C5*C9))/(C8*C7))))*1000</f>
        <v/>
      </c>
      <c r="F265" s="27">
        <f>IF(AND(MOD((237/80*(60/C5)),(60/C5))&lt;(60/C5*C9),MOD((237/80*(60/C5)),(60/C5))&lt;C12),-ABS(C11)*SIN(PI()*MOD((237/80*(60/C5)),(60/C5))/C12),0)</f>
        <v/>
      </c>
      <c r="G265" s="27">
        <f>C6*(C10/(C7+C10))+(E265/1000)/C10+F265</f>
        <v/>
      </c>
      <c r="H265" s="27">
        <f>C265-G265</f>
        <v/>
      </c>
      <c r="I265" s="27">
        <f>C6+(E265/1000)/C7</f>
        <v/>
      </c>
    </row>
    <row r="266" ht="12.95" customHeight="1" s="44">
      <c r="B266" s="25">
        <f>(238/80*(60/C5))</f>
        <v/>
      </c>
      <c r="C266" s="25">
        <f>IF(MOD((238/80*(60/C5)),(60/C5))&lt;(60/C5*C9),C6+C4,C6)</f>
        <v/>
      </c>
      <c r="D266" s="25">
        <f>IF(MOD((238/80*(60/C5)),(60/C5))&lt;(60/C5*C9),(C4/C8)*EXP(-MOD((238/80*(60/C5)),(60/C5))/(C8*C7))*60,-((C4*C7*(1-EXP(-(60/C5*C9)/(C8*C7))))/(C8*C7))*EXP(-(MOD((238/80*(60/C5)),(60/C5))-(60/C5*C9))/(C8*C7))*60)</f>
        <v/>
      </c>
      <c r="E266" s="26">
        <f>(IF(MOD((238/80*(60/C5)),(60/C5))&lt;(60/C5*C9),C4*C7*(1-EXP(-MOD((238/80*(60/C5)),(60/C5))/(C8*C7))),(C4*C7*(1-EXP(-(60/C5*C9)/(C8*C7))))*EXP(-(MOD((238/80*(60/C5)),(60/C5))-(60/C5*C9))/(C8*C7))))*1000</f>
        <v/>
      </c>
      <c r="F266" s="25">
        <f>IF(AND(MOD((238/80*(60/C5)),(60/C5))&lt;(60/C5*C9),MOD((238/80*(60/C5)),(60/C5))&lt;C12),-ABS(C11)*SIN(PI()*MOD((238/80*(60/C5)),(60/C5))/C12),0)</f>
        <v/>
      </c>
      <c r="G266" s="25">
        <f>C6*(C10/(C7+C10))+(E266/1000)/C10+F266</f>
        <v/>
      </c>
      <c r="H266" s="25">
        <f>C266-G266</f>
        <v/>
      </c>
      <c r="I266" s="25">
        <f>C6+(E266/1000)/C7</f>
        <v/>
      </c>
    </row>
    <row r="267" ht="12.95" customHeight="1" s="44">
      <c r="B267" s="27">
        <f>(239/80*(60/C5))</f>
        <v/>
      </c>
      <c r="C267" s="27">
        <f>IF(MOD((239/80*(60/C5)),(60/C5))&lt;(60/C5*C9),C6+C4,C6)</f>
        <v/>
      </c>
      <c r="D267" s="27">
        <f>IF(MOD((239/80*(60/C5)),(60/C5))&lt;(60/C5*C9),(C4/C8)*EXP(-MOD((239/80*(60/C5)),(60/C5))/(C8*C7))*60,-((C4*C7*(1-EXP(-(60/C5*C9)/(C8*C7))))/(C8*C7))*EXP(-(MOD((239/80*(60/C5)),(60/C5))-(60/C5*C9))/(C8*C7))*60)</f>
        <v/>
      </c>
      <c r="E267" s="28">
        <f>(IF(MOD((239/80*(60/C5)),(60/C5))&lt;(60/C5*C9),C4*C7*(1-EXP(-MOD((239/80*(60/C5)),(60/C5))/(C8*C7))),(C4*C7*(1-EXP(-(60/C5*C9)/(C8*C7))))*EXP(-(MOD((239/80*(60/C5)),(60/C5))-(60/C5*C9))/(C8*C7))))*1000</f>
        <v/>
      </c>
      <c r="F267" s="27">
        <f>IF(AND(MOD((239/80*(60/C5)),(60/C5))&lt;(60/C5*C9),MOD((239/80*(60/C5)),(60/C5))&lt;C12),-ABS(C11)*SIN(PI()*MOD((239/80*(60/C5)),(60/C5))/C12),0)</f>
        <v/>
      </c>
      <c r="G267" s="27">
        <f>C6*(C10/(C7+C10))+(E267/1000)/C10+F267</f>
        <v/>
      </c>
      <c r="H267" s="27">
        <f>C267-G267</f>
        <v/>
      </c>
      <c r="I267" s="27">
        <f>C6+(E267/1000)/C7</f>
        <v/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4">
    <mergeCell ref="B1:O1"/>
    <mergeCell ref="B2:O2"/>
    <mergeCell ref="B14:E14"/>
    <mergeCell ref="B26:I26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1:O268"/>
  <sheetViews>
    <sheetView showGridLines="0" workbookViewId="0">
      <selection activeCell="G5" sqref="G5"/>
    </sheetView>
  </sheetViews>
  <sheetFormatPr baseColWidth="8" defaultRowHeight="15"/>
  <cols>
    <col width="2" customWidth="1" style="44" min="1" max="1"/>
    <col width="30" customWidth="1" style="44" min="2" max="2"/>
    <col width="14" customWidth="1" style="44" min="3" max="4"/>
    <col width="40" customWidth="1" style="44" min="5" max="5"/>
    <col width="2" customWidth="1" style="44" min="6" max="6"/>
    <col width="22" customWidth="1" style="44" min="7" max="16"/>
  </cols>
  <sheetData>
    <row r="1" ht="27.95" customHeight="1" s="44">
      <c r="B1" s="48" t="inlineStr">
        <is>
          <t xml:space="preserve">  PSV — Pressure Support Ventilation</t>
        </is>
      </c>
    </row>
    <row r="2" ht="18" customHeight="1" s="44">
      <c r="B2" s="52" t="inlineStr">
        <is>
          <t>Change YELLOW cells → All 3 breath cycles update instantly  |  cmH2O · mL · L/min</t>
        </is>
      </c>
    </row>
    <row r="3" ht="20.1" customHeight="1" s="44">
      <c r="B3" s="11" t="inlineStr">
        <is>
          <t>Parameter</t>
        </is>
      </c>
      <c r="C3" s="11" t="inlineStr">
        <is>
          <t>Value</t>
        </is>
      </c>
      <c r="D3" s="11" t="inlineStr">
        <is>
          <t>Unit</t>
        </is>
      </c>
      <c r="E3" s="11" t="inlineStr">
        <is>
          <t>Description</t>
        </is>
      </c>
    </row>
    <row r="4" ht="20.1" customHeight="1" s="44">
      <c r="B4" s="12" t="inlineStr">
        <is>
          <t>Pressure Support (PS)</t>
        </is>
      </c>
      <c r="C4" s="13" t="n">
        <v>10</v>
      </c>
      <c r="D4" s="14" t="inlineStr">
        <is>
          <t>cmH2O</t>
        </is>
      </c>
      <c r="E4" s="15" t="inlineStr">
        <is>
          <t>Pressure support above PEEP (5–30 cmH2O)</t>
        </is>
      </c>
    </row>
    <row r="5" ht="20.1" customHeight="1" s="44">
      <c r="B5" s="12" t="inlineStr">
        <is>
          <t>Respiratory Rate (RR)</t>
        </is>
      </c>
      <c r="C5" s="13" t="n">
        <v>15</v>
      </c>
      <c r="D5" s="14" t="inlineStr">
        <is>
          <t>br/min</t>
        </is>
      </c>
      <c r="E5" s="15" t="inlineStr">
        <is>
          <t>Backup/set respiratory rate</t>
        </is>
      </c>
    </row>
    <row r="6" ht="20.1" customHeight="1" s="44">
      <c r="B6" s="12" t="inlineStr">
        <is>
          <t>PEEP</t>
        </is>
      </c>
      <c r="C6" s="13" t="n">
        <v>5</v>
      </c>
      <c r="D6" s="14" t="inlineStr">
        <is>
          <t>cmH2O</t>
        </is>
      </c>
      <c r="E6" s="15" t="inlineStr">
        <is>
          <t>Positive end-expiratory pressure</t>
        </is>
      </c>
    </row>
    <row r="7" ht="20.1" customHeight="1" s="44">
      <c r="B7" s="12" t="inlineStr">
        <is>
          <t>Compliance (C)</t>
        </is>
      </c>
      <c r="C7" s="13" t="n">
        <v>0.05</v>
      </c>
      <c r="D7" s="14" t="inlineStr">
        <is>
          <t>L/cmH2O</t>
        </is>
      </c>
      <c r="E7" s="15" t="inlineStr">
        <is>
          <t>Respiratory system compliance</t>
        </is>
      </c>
    </row>
    <row r="8" ht="20.1" customHeight="1" s="44">
      <c r="B8" s="12" t="inlineStr">
        <is>
          <t>Resistance (R)</t>
        </is>
      </c>
      <c r="C8" s="13" t="n">
        <v>5</v>
      </c>
      <c r="D8" s="14" t="inlineStr">
        <is>
          <t>cmH2O/L/s</t>
        </is>
      </c>
      <c r="E8" s="15" t="inlineStr">
        <is>
          <t>Airway resistance</t>
        </is>
      </c>
    </row>
    <row r="9" ht="20.1" customHeight="1" s="44">
      <c r="B9" s="12" t="inlineStr">
        <is>
          <t>I:E fraction (Ti/Ttot)</t>
        </is>
      </c>
      <c r="C9" s="13" t="n">
        <v>0.33</v>
      </c>
      <c r="D9" s="14" t="inlineStr">
        <is>
          <t>fraction</t>
        </is>
      </c>
      <c r="E9" s="15" t="inlineStr">
        <is>
          <t>Inspiratory fraction (0.2–0.5)</t>
        </is>
      </c>
    </row>
    <row r="10" ht="20.1" customHeight="1" s="44">
      <c r="B10" s="12" t="inlineStr">
        <is>
          <t>Chest Wall Compliance (Ccw)</t>
        </is>
      </c>
      <c r="C10" s="13" t="n">
        <v>0.2</v>
      </c>
      <c r="D10" s="14" t="inlineStr">
        <is>
          <t>L/cmH2O</t>
        </is>
      </c>
      <c r="E10" s="15" t="inlineStr">
        <is>
          <t>Chest wall compliance</t>
        </is>
      </c>
    </row>
    <row r="11" ht="20.1" customHeight="1" s="44">
      <c r="B11" s="12" t="inlineStr">
        <is>
          <t>Pmus peak (effort)</t>
        </is>
      </c>
      <c r="C11" s="13" t="n">
        <v>0</v>
      </c>
      <c r="D11" s="14" t="inlineStr">
        <is>
          <t>cmH2O</t>
        </is>
      </c>
      <c r="E11" s="15" t="inlineStr">
        <is>
          <t>Inspiratory effort (typical 2–10 cmH2O)</t>
        </is>
      </c>
    </row>
    <row r="12" ht="20.1" customHeight="1" s="44">
      <c r="B12" s="12" t="inlineStr">
        <is>
          <t>Pmus duration</t>
        </is>
      </c>
      <c r="C12" s="13" t="n">
        <v>1</v>
      </c>
      <c r="D12" s="14" t="inlineStr">
        <is>
          <t>s</t>
        </is>
      </c>
      <c r="E12" s="15" t="inlineStr">
        <is>
          <t>Duration of inspiratory effort in seconds</t>
        </is>
      </c>
    </row>
    <row r="13" ht="20.1" customHeight="1" s="44">
      <c r="B13" s="12" t="inlineStr">
        <is>
          <t>Exp Trigger Sensitivity</t>
        </is>
      </c>
      <c r="C13" s="13" t="n">
        <v>0.25</v>
      </c>
      <c r="D13" s="14" t="inlineStr">
        <is>
          <t>fraction</t>
        </is>
      </c>
      <c r="E13" s="15" t="inlineStr">
        <is>
          <t>ETS: fraction of peak flow to cycle off (0.1–0.4)</t>
        </is>
      </c>
    </row>
    <row r="15" ht="21.95" customHeight="1" s="44">
      <c r="B15" s="47" t="inlineStr">
        <is>
          <t>DERIVED PARAMETERS  (auto-calculated)</t>
        </is>
      </c>
    </row>
    <row r="16" ht="20.1" customHeight="1" s="44">
      <c r="B16" s="12" t="inlineStr">
        <is>
          <t>Total Cycle Time (Ttot)</t>
        </is>
      </c>
      <c r="C16" s="16">
        <f>60/C5</f>
        <v/>
      </c>
      <c r="D16" s="14" t="inlineStr">
        <is>
          <t>s</t>
        </is>
      </c>
      <c r="E16" s="15" t="inlineStr">
        <is>
          <t>60/RR</t>
        </is>
      </c>
    </row>
    <row r="17" ht="20.1" customHeight="1" s="44">
      <c r="B17" s="12" t="inlineStr">
        <is>
          <t>Inspiratory Time (Ti)</t>
        </is>
      </c>
      <c r="C17" s="16">
        <f>(60/C5)*C9</f>
        <v/>
      </c>
      <c r="D17" s="14" t="inlineStr">
        <is>
          <t>s</t>
        </is>
      </c>
      <c r="E17" s="15" t="inlineStr">
        <is>
          <t>Ttot × IE_fraction</t>
        </is>
      </c>
    </row>
    <row r="18" ht="20.1" customHeight="1" s="44">
      <c r="B18" s="12" t="inlineStr">
        <is>
          <t>Expiratory Time (Te)</t>
        </is>
      </c>
      <c r="C18" s="16">
        <f>(60/C5)*(1-C9)</f>
        <v/>
      </c>
      <c r="D18" s="14" t="inlineStr">
        <is>
          <t>s</t>
        </is>
      </c>
      <c r="E18" s="15" t="inlineStr">
        <is>
          <t>Ttot × (1−IE_fraction)</t>
        </is>
      </c>
    </row>
    <row r="19" ht="20.1" customHeight="1" s="44">
      <c r="B19" s="12" t="inlineStr">
        <is>
          <t>I:E Ratio</t>
        </is>
      </c>
      <c r="C19" s="16">
        <f>C9/(1-C9)</f>
        <v/>
      </c>
      <c r="D19" s="14" t="inlineStr">
        <is>
          <t>ratio</t>
        </is>
      </c>
      <c r="E19" s="15" t="inlineStr">
        <is>
          <t>Ti / Te</t>
        </is>
      </c>
    </row>
    <row r="20" ht="20.1" customHeight="1" s="44">
      <c r="B20" s="12" t="inlineStr">
        <is>
          <t>Peak Airway Pressure</t>
        </is>
      </c>
      <c r="C20" s="16">
        <f>C6+C4</f>
        <v/>
      </c>
      <c r="D20" s="14" t="inlineStr">
        <is>
          <t>cmH2O</t>
        </is>
      </c>
      <c r="E20" s="15" t="inlineStr">
        <is>
          <t>PEEP + PS</t>
        </is>
      </c>
    </row>
    <row r="21" ht="20.1" customHeight="1" s="44">
      <c r="B21" s="12" t="inlineStr">
        <is>
          <t>Time Constant (τ=R×C)</t>
        </is>
      </c>
      <c r="C21" s="16">
        <f>C8*C7</f>
        <v/>
      </c>
      <c r="D21" s="14" t="inlineStr">
        <is>
          <t>s</t>
        </is>
      </c>
      <c r="E21" s="15" t="inlineStr">
        <is>
          <t>Expiratory time constant</t>
        </is>
      </c>
    </row>
    <row r="22" ht="20.1" customHeight="1" s="44">
      <c r="B22" s="12" t="inlineStr">
        <is>
          <t>Approx Vt (L)</t>
        </is>
      </c>
      <c r="C22" s="16">
        <f>(C6+C4)*C7*(1-EXP(-C9*60/C5/(C8*C7)))</f>
        <v/>
      </c>
      <c r="D22" s="14" t="inlineStr">
        <is>
          <t>L</t>
        </is>
      </c>
      <c r="E22" s="15" t="inlineStr">
        <is>
          <t>P_total×C×(1−e^(−Ti/τ))</t>
        </is>
      </c>
    </row>
    <row r="23" ht="20.1" customHeight="1" s="44">
      <c r="B23" s="12" t="inlineStr">
        <is>
          <t>Approx Vt (mL)</t>
        </is>
      </c>
      <c r="C23" s="16">
        <f>(C6+C4)*C7*(1-EXP(-C9*60/C5/(C8*C7)))*1000</f>
        <v/>
      </c>
      <c r="D23" s="14" t="inlineStr">
        <is>
          <t>mL</t>
        </is>
      </c>
      <c r="E23" s="15" t="inlineStr">
        <is>
          <t>×1000</t>
        </is>
      </c>
    </row>
    <row r="24" ht="20.1" customHeight="1" s="44">
      <c r="B24" s="12" t="inlineStr">
        <is>
          <t>Pes baseline</t>
        </is>
      </c>
      <c r="C24" s="16">
        <f>C6*(C10/(C7+C10))</f>
        <v/>
      </c>
      <c r="D24" s="14" t="inlineStr">
        <is>
          <t>cmH2O</t>
        </is>
      </c>
      <c r="E24" s="15" t="inlineStr">
        <is>
          <t>PEEP fraction to pleural space</t>
        </is>
      </c>
    </row>
    <row r="25" ht="20.1" customHeight="1" s="44">
      <c r="B25" s="12" t="inlineStr">
        <is>
          <t>ETS flow threshold</t>
        </is>
      </c>
      <c r="C25" s="16">
        <f>C13*(C6+C4)/C8*60</f>
        <v/>
      </c>
      <c r="D25" s="14" t="inlineStr">
        <is>
          <t>L/min</t>
        </is>
      </c>
      <c r="E25" s="15" t="inlineStr">
        <is>
          <t>Flow at which expiration is triggered</t>
        </is>
      </c>
    </row>
    <row r="27" ht="20.1" customHeight="1" s="44">
      <c r="B27" s="50" t="inlineStr">
        <is>
          <t>WAVEFORM DATA — 3 BREATH CYCLES × 80 points = 240 rows  (formulas update automatically)</t>
        </is>
      </c>
    </row>
    <row r="28" ht="18" customHeight="1" s="44">
      <c r="B28" s="17" t="inlineStr">
        <is>
          <t>Time (s)</t>
        </is>
      </c>
      <c r="C28" s="18" t="inlineStr">
        <is>
          <t>Paw (cmH2O)</t>
        </is>
      </c>
      <c r="D28" s="19" t="inlineStr">
        <is>
          <t>Flow (L/min)</t>
        </is>
      </c>
      <c r="E28" s="20" t="inlineStr">
        <is>
          <t>Volume (mL)</t>
        </is>
      </c>
      <c r="F28" s="21" t="inlineStr">
        <is>
          <t>Pmus (cmH2O)</t>
        </is>
      </c>
      <c r="G28" s="22" t="inlineStr">
        <is>
          <t>Pes (cmH2O)</t>
        </is>
      </c>
      <c r="H28" s="23" t="inlineStr">
        <is>
          <t>PL (cmH2O)</t>
        </is>
      </c>
      <c r="I28" s="24" t="inlineStr">
        <is>
          <t>Palv (cmH2O)</t>
        </is>
      </c>
    </row>
    <row r="29" ht="12.95" customHeight="1" s="44">
      <c r="B29" s="25">
        <f>(0/80*(60/C5))</f>
        <v/>
      </c>
      <c r="C29" s="25">
        <f>IF(MOD((0/80*(60/C5)),(60/C5))&lt;(60/C5*C9),C6+C4,C6)</f>
        <v/>
      </c>
      <c r="D29" s="25">
        <f>IF(MOD((0/80*(60/C5)),(60/C5))&lt;(60/C5*C9),((C6+C4)/C8)*EXP(-MOD((0/80*(60/C5)),(60/C5))/(C8*C7))*60,-(((C6+C4)*C7*(1-EXP(-(60/C5*C9)/(C8*C7))))/(C8*C7))*EXP(-(MOD((0/80*(60/C5)),(60/C5))-(60/C5*C9))/(C8*C7))*60)</f>
        <v/>
      </c>
      <c r="E29" s="26">
        <f>(IF(MOD((0/80*(60/C5)),(60/C5))&lt;(60/C5*C9),(C6+C4)*C7*(1-EXP(-MOD((0/80*(60/C5)),(60/C5))/(C8*C7))),((C6+C4)*C7*(1-EXP(-(60/C5*C9)/(C8*C7))))*EXP(-(MOD((0/80*(60/C5)),(60/C5))-(60/C5*C9))/(C8*C7))))*1000</f>
        <v/>
      </c>
      <c r="F29" s="25">
        <f>IF(AND(MOD((0/80*(60/C5)),(60/C5))&lt;(60/C5*C9),MOD((0/80*(60/C5)),(60/C5))&lt;C12),-ABS(C11)*SIN(PI()*MOD((0/80*(60/C5)),(60/C5))/C12),0)</f>
        <v/>
      </c>
      <c r="G29" s="25">
        <f>C6*(C10/(C7+C10))+(E29/1000)/C10+F29</f>
        <v/>
      </c>
      <c r="H29" s="25">
        <f>C29-G29</f>
        <v/>
      </c>
      <c r="I29" s="25">
        <f>C6+(E29/1000)/C7</f>
        <v/>
      </c>
    </row>
    <row r="30" ht="12.95" customHeight="1" s="44">
      <c r="B30" s="27">
        <f>(1/80*(60/C5))</f>
        <v/>
      </c>
      <c r="C30" s="27">
        <f>IF(MOD((1/80*(60/C5)),(60/C5))&lt;(60/C5*C9),C6+C4,C6)</f>
        <v/>
      </c>
      <c r="D30" s="27">
        <f>IF(MOD((1/80*(60/C5)),(60/C5))&lt;(60/C5*C9),((C6+C4)/C8)*EXP(-MOD((1/80*(60/C5)),(60/C5))/(C8*C7))*60,-(((C6+C4)*C7*(1-EXP(-(60/C5*C9)/(C8*C7))))/(C8*C7))*EXP(-(MOD((1/80*(60/C5)),(60/C5))-(60/C5*C9))/(C8*C7))*60)</f>
        <v/>
      </c>
      <c r="E30" s="28">
        <f>(IF(MOD((1/80*(60/C5)),(60/C5))&lt;(60/C5*C9),(C6+C4)*C7*(1-EXP(-MOD((1/80*(60/C5)),(60/C5))/(C8*C7))),((C6+C4)*C7*(1-EXP(-(60/C5*C9)/(C8*C7))))*EXP(-(MOD((1/80*(60/C5)),(60/C5))-(60/C5*C9))/(C8*C7))))*1000</f>
        <v/>
      </c>
      <c r="F30" s="27">
        <f>IF(AND(MOD((1/80*(60/C5)),(60/C5))&lt;(60/C5*C9),MOD((1/80*(60/C5)),(60/C5))&lt;C12),-ABS(C11)*SIN(PI()*MOD((1/80*(60/C5)),(60/C5))/C12),0)</f>
        <v/>
      </c>
      <c r="G30" s="27">
        <f>C6*(C10/(C7+C10))+(E30/1000)/C10+F30</f>
        <v/>
      </c>
      <c r="H30" s="27">
        <f>C30-G30</f>
        <v/>
      </c>
      <c r="I30" s="27">
        <f>C6+(E30/1000)/C7</f>
        <v/>
      </c>
    </row>
    <row r="31" ht="12.95" customHeight="1" s="44">
      <c r="B31" s="25">
        <f>(2/80*(60/C5))</f>
        <v/>
      </c>
      <c r="C31" s="25">
        <f>IF(MOD((2/80*(60/C5)),(60/C5))&lt;(60/C5*C9),C6+C4,C6)</f>
        <v/>
      </c>
      <c r="D31" s="25">
        <f>IF(MOD((2/80*(60/C5)),(60/C5))&lt;(60/C5*C9),((C6+C4)/C8)*EXP(-MOD((2/80*(60/C5)),(60/C5))/(C8*C7))*60,-(((C6+C4)*C7*(1-EXP(-(60/C5*C9)/(C8*C7))))/(C8*C7))*EXP(-(MOD((2/80*(60/C5)),(60/C5))-(60/C5*C9))/(C8*C7))*60)</f>
        <v/>
      </c>
      <c r="E31" s="26">
        <f>(IF(MOD((2/80*(60/C5)),(60/C5))&lt;(60/C5*C9),(C6+C4)*C7*(1-EXP(-MOD((2/80*(60/C5)),(60/C5))/(C8*C7))),((C6+C4)*C7*(1-EXP(-(60/C5*C9)/(C8*C7))))*EXP(-(MOD((2/80*(60/C5)),(60/C5))-(60/C5*C9))/(C8*C7))))*1000</f>
        <v/>
      </c>
      <c r="F31" s="25">
        <f>IF(AND(MOD((2/80*(60/C5)),(60/C5))&lt;(60/C5*C9),MOD((2/80*(60/C5)),(60/C5))&lt;C12),-ABS(C11)*SIN(PI()*MOD((2/80*(60/C5)),(60/C5))/C12),0)</f>
        <v/>
      </c>
      <c r="G31" s="25">
        <f>C6*(C10/(C7+C10))+(E31/1000)/C10+F31</f>
        <v/>
      </c>
      <c r="H31" s="25">
        <f>C31-G31</f>
        <v/>
      </c>
      <c r="I31" s="25">
        <f>C6+(E31/1000)/C7</f>
        <v/>
      </c>
    </row>
    <row r="32" ht="12.95" customHeight="1" s="44">
      <c r="B32" s="27">
        <f>(3/80*(60/C5))</f>
        <v/>
      </c>
      <c r="C32" s="27">
        <f>IF(MOD((3/80*(60/C5)),(60/C5))&lt;(60/C5*C9),C6+C4,C6)</f>
        <v/>
      </c>
      <c r="D32" s="27">
        <f>IF(MOD((3/80*(60/C5)),(60/C5))&lt;(60/C5*C9),((C6+C4)/C8)*EXP(-MOD((3/80*(60/C5)),(60/C5))/(C8*C7))*60,-(((C6+C4)*C7*(1-EXP(-(60/C5*C9)/(C8*C7))))/(C8*C7))*EXP(-(MOD((3/80*(60/C5)),(60/C5))-(60/C5*C9))/(C8*C7))*60)</f>
        <v/>
      </c>
      <c r="E32" s="28">
        <f>(IF(MOD((3/80*(60/C5)),(60/C5))&lt;(60/C5*C9),(C6+C4)*C7*(1-EXP(-MOD((3/80*(60/C5)),(60/C5))/(C8*C7))),((C6+C4)*C7*(1-EXP(-(60/C5*C9)/(C8*C7))))*EXP(-(MOD((3/80*(60/C5)),(60/C5))-(60/C5*C9))/(C8*C7))))*1000</f>
        <v/>
      </c>
      <c r="F32" s="27">
        <f>IF(AND(MOD((3/80*(60/C5)),(60/C5))&lt;(60/C5*C9),MOD((3/80*(60/C5)),(60/C5))&lt;C12),-ABS(C11)*SIN(PI()*MOD((3/80*(60/C5)),(60/C5))/C12),0)</f>
        <v/>
      </c>
      <c r="G32" s="27">
        <f>C6*(C10/(C7+C10))+(E32/1000)/C10+F32</f>
        <v/>
      </c>
      <c r="H32" s="27">
        <f>C32-G32</f>
        <v/>
      </c>
      <c r="I32" s="27">
        <f>C6+(E32/1000)/C7</f>
        <v/>
      </c>
    </row>
    <row r="33" ht="12.95" customHeight="1" s="44">
      <c r="B33" s="25">
        <f>(4/80*(60/C5))</f>
        <v/>
      </c>
      <c r="C33" s="25">
        <f>IF(MOD((4/80*(60/C5)),(60/C5))&lt;(60/C5*C9),C6+C4,C6)</f>
        <v/>
      </c>
      <c r="D33" s="25">
        <f>IF(MOD((4/80*(60/C5)),(60/C5))&lt;(60/C5*C9),((C6+C4)/C8)*EXP(-MOD((4/80*(60/C5)),(60/C5))/(C8*C7))*60,-(((C6+C4)*C7*(1-EXP(-(60/C5*C9)/(C8*C7))))/(C8*C7))*EXP(-(MOD((4/80*(60/C5)),(60/C5))-(60/C5*C9))/(C8*C7))*60)</f>
        <v/>
      </c>
      <c r="E33" s="26">
        <f>(IF(MOD((4/80*(60/C5)),(60/C5))&lt;(60/C5*C9),(C6+C4)*C7*(1-EXP(-MOD((4/80*(60/C5)),(60/C5))/(C8*C7))),((C6+C4)*C7*(1-EXP(-(60/C5*C9)/(C8*C7))))*EXP(-(MOD((4/80*(60/C5)),(60/C5))-(60/C5*C9))/(C8*C7))))*1000</f>
        <v/>
      </c>
      <c r="F33" s="25">
        <f>IF(AND(MOD((4/80*(60/C5)),(60/C5))&lt;(60/C5*C9),MOD((4/80*(60/C5)),(60/C5))&lt;C12),-ABS(C11)*SIN(PI()*MOD((4/80*(60/C5)),(60/C5))/C12),0)</f>
        <v/>
      </c>
      <c r="G33" s="25">
        <f>C6*(C10/(C7+C10))+(E33/1000)/C10+F33</f>
        <v/>
      </c>
      <c r="H33" s="25">
        <f>C33-G33</f>
        <v/>
      </c>
      <c r="I33" s="25">
        <f>C6+(E33/1000)/C7</f>
        <v/>
      </c>
    </row>
    <row r="34" ht="12.95" customHeight="1" s="44">
      <c r="B34" s="27">
        <f>(5/80*(60/C5))</f>
        <v/>
      </c>
      <c r="C34" s="27">
        <f>IF(MOD((5/80*(60/C5)),(60/C5))&lt;(60/C5*C9),C6+C4,C6)</f>
        <v/>
      </c>
      <c r="D34" s="27">
        <f>IF(MOD((5/80*(60/C5)),(60/C5))&lt;(60/C5*C9),((C6+C4)/C8)*EXP(-MOD((5/80*(60/C5)),(60/C5))/(C8*C7))*60,-(((C6+C4)*C7*(1-EXP(-(60/C5*C9)/(C8*C7))))/(C8*C7))*EXP(-(MOD((5/80*(60/C5)),(60/C5))-(60/C5*C9))/(C8*C7))*60)</f>
        <v/>
      </c>
      <c r="E34" s="28">
        <f>(IF(MOD((5/80*(60/C5)),(60/C5))&lt;(60/C5*C9),(C6+C4)*C7*(1-EXP(-MOD((5/80*(60/C5)),(60/C5))/(C8*C7))),((C6+C4)*C7*(1-EXP(-(60/C5*C9)/(C8*C7))))*EXP(-(MOD((5/80*(60/C5)),(60/C5))-(60/C5*C9))/(C8*C7))))*1000</f>
        <v/>
      </c>
      <c r="F34" s="27">
        <f>IF(AND(MOD((5/80*(60/C5)),(60/C5))&lt;(60/C5*C9),MOD((5/80*(60/C5)),(60/C5))&lt;C12),-ABS(C11)*SIN(PI()*MOD((5/80*(60/C5)),(60/C5))/C12),0)</f>
        <v/>
      </c>
      <c r="G34" s="27">
        <f>C6*(C10/(C7+C10))+(E34/1000)/C10+F34</f>
        <v/>
      </c>
      <c r="H34" s="27">
        <f>C34-G34</f>
        <v/>
      </c>
      <c r="I34" s="27">
        <f>C6+(E34/1000)/C7</f>
        <v/>
      </c>
    </row>
    <row r="35" ht="12.95" customHeight="1" s="44">
      <c r="B35" s="25">
        <f>(6/80*(60/C5))</f>
        <v/>
      </c>
      <c r="C35" s="25">
        <f>IF(MOD((6/80*(60/C5)),(60/C5))&lt;(60/C5*C9),C6+C4,C6)</f>
        <v/>
      </c>
      <c r="D35" s="25">
        <f>IF(MOD((6/80*(60/C5)),(60/C5))&lt;(60/C5*C9),((C6+C4)/C8)*EXP(-MOD((6/80*(60/C5)),(60/C5))/(C8*C7))*60,-(((C6+C4)*C7*(1-EXP(-(60/C5*C9)/(C8*C7))))/(C8*C7))*EXP(-(MOD((6/80*(60/C5)),(60/C5))-(60/C5*C9))/(C8*C7))*60)</f>
        <v/>
      </c>
      <c r="E35" s="26">
        <f>(IF(MOD((6/80*(60/C5)),(60/C5))&lt;(60/C5*C9),(C6+C4)*C7*(1-EXP(-MOD((6/80*(60/C5)),(60/C5))/(C8*C7))),((C6+C4)*C7*(1-EXP(-(60/C5*C9)/(C8*C7))))*EXP(-(MOD((6/80*(60/C5)),(60/C5))-(60/C5*C9))/(C8*C7))))*1000</f>
        <v/>
      </c>
      <c r="F35" s="25">
        <f>IF(AND(MOD((6/80*(60/C5)),(60/C5))&lt;(60/C5*C9),MOD((6/80*(60/C5)),(60/C5))&lt;C12),-ABS(C11)*SIN(PI()*MOD((6/80*(60/C5)),(60/C5))/C12),0)</f>
        <v/>
      </c>
      <c r="G35" s="25">
        <f>C6*(C10/(C7+C10))+(E35/1000)/C10+F35</f>
        <v/>
      </c>
      <c r="H35" s="25">
        <f>C35-G35</f>
        <v/>
      </c>
      <c r="I35" s="25">
        <f>C6+(E35/1000)/C7</f>
        <v/>
      </c>
    </row>
    <row r="36" ht="12.95" customHeight="1" s="44">
      <c r="B36" s="27">
        <f>(7/80*(60/C5))</f>
        <v/>
      </c>
      <c r="C36" s="27">
        <f>IF(MOD((7/80*(60/C5)),(60/C5))&lt;(60/C5*C9),C6+C4,C6)</f>
        <v/>
      </c>
      <c r="D36" s="27">
        <f>IF(MOD((7/80*(60/C5)),(60/C5))&lt;(60/C5*C9),((C6+C4)/C8)*EXP(-MOD((7/80*(60/C5)),(60/C5))/(C8*C7))*60,-(((C6+C4)*C7*(1-EXP(-(60/C5*C9)/(C8*C7))))/(C8*C7))*EXP(-(MOD((7/80*(60/C5)),(60/C5))-(60/C5*C9))/(C8*C7))*60)</f>
        <v/>
      </c>
      <c r="E36" s="28">
        <f>(IF(MOD((7/80*(60/C5)),(60/C5))&lt;(60/C5*C9),(C6+C4)*C7*(1-EXP(-MOD((7/80*(60/C5)),(60/C5))/(C8*C7))),((C6+C4)*C7*(1-EXP(-(60/C5*C9)/(C8*C7))))*EXP(-(MOD((7/80*(60/C5)),(60/C5))-(60/C5*C9))/(C8*C7))))*1000</f>
        <v/>
      </c>
      <c r="F36" s="27">
        <f>IF(AND(MOD((7/80*(60/C5)),(60/C5))&lt;(60/C5*C9),MOD((7/80*(60/C5)),(60/C5))&lt;C12),-ABS(C11)*SIN(PI()*MOD((7/80*(60/C5)),(60/C5))/C12),0)</f>
        <v/>
      </c>
      <c r="G36" s="27">
        <f>C6*(C10/(C7+C10))+(E36/1000)/C10+F36</f>
        <v/>
      </c>
      <c r="H36" s="27">
        <f>C36-G36</f>
        <v/>
      </c>
      <c r="I36" s="27">
        <f>C6+(E36/1000)/C7</f>
        <v/>
      </c>
    </row>
    <row r="37" ht="12.95" customHeight="1" s="44">
      <c r="B37" s="25">
        <f>(8/80*(60/C5))</f>
        <v/>
      </c>
      <c r="C37" s="25">
        <f>IF(MOD((8/80*(60/C5)),(60/C5))&lt;(60/C5*C9),C6+C4,C6)</f>
        <v/>
      </c>
      <c r="D37" s="25">
        <f>IF(MOD((8/80*(60/C5)),(60/C5))&lt;(60/C5*C9),((C6+C4)/C8)*EXP(-MOD((8/80*(60/C5)),(60/C5))/(C8*C7))*60,-(((C6+C4)*C7*(1-EXP(-(60/C5*C9)/(C8*C7))))/(C8*C7))*EXP(-(MOD((8/80*(60/C5)),(60/C5))-(60/C5*C9))/(C8*C7))*60)</f>
        <v/>
      </c>
      <c r="E37" s="26">
        <f>(IF(MOD((8/80*(60/C5)),(60/C5))&lt;(60/C5*C9),(C6+C4)*C7*(1-EXP(-MOD((8/80*(60/C5)),(60/C5))/(C8*C7))),((C6+C4)*C7*(1-EXP(-(60/C5*C9)/(C8*C7))))*EXP(-(MOD((8/80*(60/C5)),(60/C5))-(60/C5*C9))/(C8*C7))))*1000</f>
        <v/>
      </c>
      <c r="F37" s="25">
        <f>IF(AND(MOD((8/80*(60/C5)),(60/C5))&lt;(60/C5*C9),MOD((8/80*(60/C5)),(60/C5))&lt;C12),-ABS(C11)*SIN(PI()*MOD((8/80*(60/C5)),(60/C5))/C12),0)</f>
        <v/>
      </c>
      <c r="G37" s="25">
        <f>C6*(C10/(C7+C10))+(E37/1000)/C10+F37</f>
        <v/>
      </c>
      <c r="H37" s="25">
        <f>C37-G37</f>
        <v/>
      </c>
      <c r="I37" s="25">
        <f>C6+(E37/1000)/C7</f>
        <v/>
      </c>
    </row>
    <row r="38" ht="12.95" customHeight="1" s="44">
      <c r="B38" s="27">
        <f>(9/80*(60/C5))</f>
        <v/>
      </c>
      <c r="C38" s="27">
        <f>IF(MOD((9/80*(60/C5)),(60/C5))&lt;(60/C5*C9),C6+C4,C6)</f>
        <v/>
      </c>
      <c r="D38" s="27">
        <f>IF(MOD((9/80*(60/C5)),(60/C5))&lt;(60/C5*C9),((C6+C4)/C8)*EXP(-MOD((9/80*(60/C5)),(60/C5))/(C8*C7))*60,-(((C6+C4)*C7*(1-EXP(-(60/C5*C9)/(C8*C7))))/(C8*C7))*EXP(-(MOD((9/80*(60/C5)),(60/C5))-(60/C5*C9))/(C8*C7))*60)</f>
        <v/>
      </c>
      <c r="E38" s="28">
        <f>(IF(MOD((9/80*(60/C5)),(60/C5))&lt;(60/C5*C9),(C6+C4)*C7*(1-EXP(-MOD((9/80*(60/C5)),(60/C5))/(C8*C7))),((C6+C4)*C7*(1-EXP(-(60/C5*C9)/(C8*C7))))*EXP(-(MOD((9/80*(60/C5)),(60/C5))-(60/C5*C9))/(C8*C7))))*1000</f>
        <v/>
      </c>
      <c r="F38" s="27">
        <f>IF(AND(MOD((9/80*(60/C5)),(60/C5))&lt;(60/C5*C9),MOD((9/80*(60/C5)),(60/C5))&lt;C12),-ABS(C11)*SIN(PI()*MOD((9/80*(60/C5)),(60/C5))/C12),0)</f>
        <v/>
      </c>
      <c r="G38" s="27">
        <f>C6*(C10/(C7+C10))+(E38/1000)/C10+F38</f>
        <v/>
      </c>
      <c r="H38" s="27">
        <f>C38-G38</f>
        <v/>
      </c>
      <c r="I38" s="27">
        <f>C6+(E38/1000)/C7</f>
        <v/>
      </c>
    </row>
    <row r="39" ht="12.95" customHeight="1" s="44">
      <c r="B39" s="25">
        <f>(10/80*(60/C5))</f>
        <v/>
      </c>
      <c r="C39" s="25">
        <f>IF(MOD((10/80*(60/C5)),(60/C5))&lt;(60/C5*C9),C6+C4,C6)</f>
        <v/>
      </c>
      <c r="D39" s="25">
        <f>IF(MOD((10/80*(60/C5)),(60/C5))&lt;(60/C5*C9),((C6+C4)/C8)*EXP(-MOD((10/80*(60/C5)),(60/C5))/(C8*C7))*60,-(((C6+C4)*C7*(1-EXP(-(60/C5*C9)/(C8*C7))))/(C8*C7))*EXP(-(MOD((10/80*(60/C5)),(60/C5))-(60/C5*C9))/(C8*C7))*60)</f>
        <v/>
      </c>
      <c r="E39" s="26">
        <f>(IF(MOD((10/80*(60/C5)),(60/C5))&lt;(60/C5*C9),(C6+C4)*C7*(1-EXP(-MOD((10/80*(60/C5)),(60/C5))/(C8*C7))),((C6+C4)*C7*(1-EXP(-(60/C5*C9)/(C8*C7))))*EXP(-(MOD((10/80*(60/C5)),(60/C5))-(60/C5*C9))/(C8*C7))))*1000</f>
        <v/>
      </c>
      <c r="F39" s="25">
        <f>IF(AND(MOD((10/80*(60/C5)),(60/C5))&lt;(60/C5*C9),MOD((10/80*(60/C5)),(60/C5))&lt;C12),-ABS(C11)*SIN(PI()*MOD((10/80*(60/C5)),(60/C5))/C12),0)</f>
        <v/>
      </c>
      <c r="G39" s="25">
        <f>C6*(C10/(C7+C10))+(E39/1000)/C10+F39</f>
        <v/>
      </c>
      <c r="H39" s="25">
        <f>C39-G39</f>
        <v/>
      </c>
      <c r="I39" s="25">
        <f>C6+(E39/1000)/C7</f>
        <v/>
      </c>
    </row>
    <row r="40" ht="12.95" customHeight="1" s="44">
      <c r="B40" s="27">
        <f>(11/80*(60/C5))</f>
        <v/>
      </c>
      <c r="C40" s="27">
        <f>IF(MOD((11/80*(60/C5)),(60/C5))&lt;(60/C5*C9),C6+C4,C6)</f>
        <v/>
      </c>
      <c r="D40" s="27">
        <f>IF(MOD((11/80*(60/C5)),(60/C5))&lt;(60/C5*C9),((C6+C4)/C8)*EXP(-MOD((11/80*(60/C5)),(60/C5))/(C8*C7))*60,-(((C6+C4)*C7*(1-EXP(-(60/C5*C9)/(C8*C7))))/(C8*C7))*EXP(-(MOD((11/80*(60/C5)),(60/C5))-(60/C5*C9))/(C8*C7))*60)</f>
        <v/>
      </c>
      <c r="E40" s="28">
        <f>(IF(MOD((11/80*(60/C5)),(60/C5))&lt;(60/C5*C9),(C6+C4)*C7*(1-EXP(-MOD((11/80*(60/C5)),(60/C5))/(C8*C7))),((C6+C4)*C7*(1-EXP(-(60/C5*C9)/(C8*C7))))*EXP(-(MOD((11/80*(60/C5)),(60/C5))-(60/C5*C9))/(C8*C7))))*1000</f>
        <v/>
      </c>
      <c r="F40" s="27">
        <f>IF(AND(MOD((11/80*(60/C5)),(60/C5))&lt;(60/C5*C9),MOD((11/80*(60/C5)),(60/C5))&lt;C12),-ABS(C11)*SIN(PI()*MOD((11/80*(60/C5)),(60/C5))/C12),0)</f>
        <v/>
      </c>
      <c r="G40" s="27">
        <f>C6*(C10/(C7+C10))+(E40/1000)/C10+F40</f>
        <v/>
      </c>
      <c r="H40" s="27">
        <f>C40-G40</f>
        <v/>
      </c>
      <c r="I40" s="27">
        <f>C6+(E40/1000)/C7</f>
        <v/>
      </c>
    </row>
    <row r="41" ht="12.95" customHeight="1" s="44">
      <c r="B41" s="25">
        <f>(12/80*(60/C5))</f>
        <v/>
      </c>
      <c r="C41" s="25">
        <f>IF(MOD((12/80*(60/C5)),(60/C5))&lt;(60/C5*C9),C6+C4,C6)</f>
        <v/>
      </c>
      <c r="D41" s="25">
        <f>IF(MOD((12/80*(60/C5)),(60/C5))&lt;(60/C5*C9),((C6+C4)/C8)*EXP(-MOD((12/80*(60/C5)),(60/C5))/(C8*C7))*60,-(((C6+C4)*C7*(1-EXP(-(60/C5*C9)/(C8*C7))))/(C8*C7))*EXP(-(MOD((12/80*(60/C5)),(60/C5))-(60/C5*C9))/(C8*C7))*60)</f>
        <v/>
      </c>
      <c r="E41" s="26">
        <f>(IF(MOD((12/80*(60/C5)),(60/C5))&lt;(60/C5*C9),(C6+C4)*C7*(1-EXP(-MOD((12/80*(60/C5)),(60/C5))/(C8*C7))),((C6+C4)*C7*(1-EXP(-(60/C5*C9)/(C8*C7))))*EXP(-(MOD((12/80*(60/C5)),(60/C5))-(60/C5*C9))/(C8*C7))))*1000</f>
        <v/>
      </c>
      <c r="F41" s="25">
        <f>IF(AND(MOD((12/80*(60/C5)),(60/C5))&lt;(60/C5*C9),MOD((12/80*(60/C5)),(60/C5))&lt;C12),-ABS(C11)*SIN(PI()*MOD((12/80*(60/C5)),(60/C5))/C12),0)</f>
        <v/>
      </c>
      <c r="G41" s="25">
        <f>C6*(C10/(C7+C10))+(E41/1000)/C10+F41</f>
        <v/>
      </c>
      <c r="H41" s="25">
        <f>C41-G41</f>
        <v/>
      </c>
      <c r="I41" s="25">
        <f>C6+(E41/1000)/C7</f>
        <v/>
      </c>
    </row>
    <row r="42" ht="12.95" customHeight="1" s="44">
      <c r="B42" s="27">
        <f>(13/80*(60/C5))</f>
        <v/>
      </c>
      <c r="C42" s="27">
        <f>IF(MOD((13/80*(60/C5)),(60/C5))&lt;(60/C5*C9),C6+C4,C6)</f>
        <v/>
      </c>
      <c r="D42" s="27">
        <f>IF(MOD((13/80*(60/C5)),(60/C5))&lt;(60/C5*C9),((C6+C4)/C8)*EXP(-MOD((13/80*(60/C5)),(60/C5))/(C8*C7))*60,-(((C6+C4)*C7*(1-EXP(-(60/C5*C9)/(C8*C7))))/(C8*C7))*EXP(-(MOD((13/80*(60/C5)),(60/C5))-(60/C5*C9))/(C8*C7))*60)</f>
        <v/>
      </c>
      <c r="E42" s="28">
        <f>(IF(MOD((13/80*(60/C5)),(60/C5))&lt;(60/C5*C9),(C6+C4)*C7*(1-EXP(-MOD((13/80*(60/C5)),(60/C5))/(C8*C7))),((C6+C4)*C7*(1-EXP(-(60/C5*C9)/(C8*C7))))*EXP(-(MOD((13/80*(60/C5)),(60/C5))-(60/C5*C9))/(C8*C7))))*1000</f>
        <v/>
      </c>
      <c r="F42" s="27">
        <f>IF(AND(MOD((13/80*(60/C5)),(60/C5))&lt;(60/C5*C9),MOD((13/80*(60/C5)),(60/C5))&lt;C12),-ABS(C11)*SIN(PI()*MOD((13/80*(60/C5)),(60/C5))/C12),0)</f>
        <v/>
      </c>
      <c r="G42" s="27">
        <f>C6*(C10/(C7+C10))+(E42/1000)/C10+F42</f>
        <v/>
      </c>
      <c r="H42" s="27">
        <f>C42-G42</f>
        <v/>
      </c>
      <c r="I42" s="27">
        <f>C6+(E42/1000)/C7</f>
        <v/>
      </c>
    </row>
    <row r="43" ht="12.95" customHeight="1" s="44">
      <c r="B43" s="25">
        <f>(14/80*(60/C5))</f>
        <v/>
      </c>
      <c r="C43" s="25">
        <f>IF(MOD((14/80*(60/C5)),(60/C5))&lt;(60/C5*C9),C6+C4,C6)</f>
        <v/>
      </c>
      <c r="D43" s="25">
        <f>IF(MOD((14/80*(60/C5)),(60/C5))&lt;(60/C5*C9),((C6+C4)/C8)*EXP(-MOD((14/80*(60/C5)),(60/C5))/(C8*C7))*60,-(((C6+C4)*C7*(1-EXP(-(60/C5*C9)/(C8*C7))))/(C8*C7))*EXP(-(MOD((14/80*(60/C5)),(60/C5))-(60/C5*C9))/(C8*C7))*60)</f>
        <v/>
      </c>
      <c r="E43" s="26">
        <f>(IF(MOD((14/80*(60/C5)),(60/C5))&lt;(60/C5*C9),(C6+C4)*C7*(1-EXP(-MOD((14/80*(60/C5)),(60/C5))/(C8*C7))),((C6+C4)*C7*(1-EXP(-(60/C5*C9)/(C8*C7))))*EXP(-(MOD((14/80*(60/C5)),(60/C5))-(60/C5*C9))/(C8*C7))))*1000</f>
        <v/>
      </c>
      <c r="F43" s="25">
        <f>IF(AND(MOD((14/80*(60/C5)),(60/C5))&lt;(60/C5*C9),MOD((14/80*(60/C5)),(60/C5))&lt;C12),-ABS(C11)*SIN(PI()*MOD((14/80*(60/C5)),(60/C5))/C12),0)</f>
        <v/>
      </c>
      <c r="G43" s="25">
        <f>C6*(C10/(C7+C10))+(E43/1000)/C10+F43</f>
        <v/>
      </c>
      <c r="H43" s="25">
        <f>C43-G43</f>
        <v/>
      </c>
      <c r="I43" s="25">
        <f>C6+(E43/1000)/C7</f>
        <v/>
      </c>
    </row>
    <row r="44" ht="12.95" customHeight="1" s="44">
      <c r="B44" s="27">
        <f>(15/80*(60/C5))</f>
        <v/>
      </c>
      <c r="C44" s="27">
        <f>IF(MOD((15/80*(60/C5)),(60/C5))&lt;(60/C5*C9),C6+C4,C6)</f>
        <v/>
      </c>
      <c r="D44" s="27">
        <f>IF(MOD((15/80*(60/C5)),(60/C5))&lt;(60/C5*C9),((C6+C4)/C8)*EXP(-MOD((15/80*(60/C5)),(60/C5))/(C8*C7))*60,-(((C6+C4)*C7*(1-EXP(-(60/C5*C9)/(C8*C7))))/(C8*C7))*EXP(-(MOD((15/80*(60/C5)),(60/C5))-(60/C5*C9))/(C8*C7))*60)</f>
        <v/>
      </c>
      <c r="E44" s="28">
        <f>(IF(MOD((15/80*(60/C5)),(60/C5))&lt;(60/C5*C9),(C6+C4)*C7*(1-EXP(-MOD((15/80*(60/C5)),(60/C5))/(C8*C7))),((C6+C4)*C7*(1-EXP(-(60/C5*C9)/(C8*C7))))*EXP(-(MOD((15/80*(60/C5)),(60/C5))-(60/C5*C9))/(C8*C7))))*1000</f>
        <v/>
      </c>
      <c r="F44" s="27">
        <f>IF(AND(MOD((15/80*(60/C5)),(60/C5))&lt;(60/C5*C9),MOD((15/80*(60/C5)),(60/C5))&lt;C12),-ABS(C11)*SIN(PI()*MOD((15/80*(60/C5)),(60/C5))/C12),0)</f>
        <v/>
      </c>
      <c r="G44" s="27">
        <f>C6*(C10/(C7+C10))+(E44/1000)/C10+F44</f>
        <v/>
      </c>
      <c r="H44" s="27">
        <f>C44-G44</f>
        <v/>
      </c>
      <c r="I44" s="27">
        <f>C6+(E44/1000)/C7</f>
        <v/>
      </c>
    </row>
    <row r="45" ht="12.95" customHeight="1" s="44">
      <c r="B45" s="25">
        <f>(16/80*(60/C5))</f>
        <v/>
      </c>
      <c r="C45" s="25">
        <f>IF(MOD((16/80*(60/C5)),(60/C5))&lt;(60/C5*C9),C6+C4,C6)</f>
        <v/>
      </c>
      <c r="D45" s="25">
        <f>IF(MOD((16/80*(60/C5)),(60/C5))&lt;(60/C5*C9),((C6+C4)/C8)*EXP(-MOD((16/80*(60/C5)),(60/C5))/(C8*C7))*60,-(((C6+C4)*C7*(1-EXP(-(60/C5*C9)/(C8*C7))))/(C8*C7))*EXP(-(MOD((16/80*(60/C5)),(60/C5))-(60/C5*C9))/(C8*C7))*60)</f>
        <v/>
      </c>
      <c r="E45" s="26">
        <f>(IF(MOD((16/80*(60/C5)),(60/C5))&lt;(60/C5*C9),(C6+C4)*C7*(1-EXP(-MOD((16/80*(60/C5)),(60/C5))/(C8*C7))),((C6+C4)*C7*(1-EXP(-(60/C5*C9)/(C8*C7))))*EXP(-(MOD((16/80*(60/C5)),(60/C5))-(60/C5*C9))/(C8*C7))))*1000</f>
        <v/>
      </c>
      <c r="F45" s="25">
        <f>IF(AND(MOD((16/80*(60/C5)),(60/C5))&lt;(60/C5*C9),MOD((16/80*(60/C5)),(60/C5))&lt;C12),-ABS(C11)*SIN(PI()*MOD((16/80*(60/C5)),(60/C5))/C12),0)</f>
        <v/>
      </c>
      <c r="G45" s="25">
        <f>C6*(C10/(C7+C10))+(E45/1000)/C10+F45</f>
        <v/>
      </c>
      <c r="H45" s="25">
        <f>C45-G45</f>
        <v/>
      </c>
      <c r="I45" s="25">
        <f>C6+(E45/1000)/C7</f>
        <v/>
      </c>
    </row>
    <row r="46" ht="12.95" customHeight="1" s="44">
      <c r="B46" s="27">
        <f>(17/80*(60/C5))</f>
        <v/>
      </c>
      <c r="C46" s="27">
        <f>IF(MOD((17/80*(60/C5)),(60/C5))&lt;(60/C5*C9),C6+C4,C6)</f>
        <v/>
      </c>
      <c r="D46" s="27">
        <f>IF(MOD((17/80*(60/C5)),(60/C5))&lt;(60/C5*C9),((C6+C4)/C8)*EXP(-MOD((17/80*(60/C5)),(60/C5))/(C8*C7))*60,-(((C6+C4)*C7*(1-EXP(-(60/C5*C9)/(C8*C7))))/(C8*C7))*EXP(-(MOD((17/80*(60/C5)),(60/C5))-(60/C5*C9))/(C8*C7))*60)</f>
        <v/>
      </c>
      <c r="E46" s="28">
        <f>(IF(MOD((17/80*(60/C5)),(60/C5))&lt;(60/C5*C9),(C6+C4)*C7*(1-EXP(-MOD((17/80*(60/C5)),(60/C5))/(C8*C7))),((C6+C4)*C7*(1-EXP(-(60/C5*C9)/(C8*C7))))*EXP(-(MOD((17/80*(60/C5)),(60/C5))-(60/C5*C9))/(C8*C7))))*1000</f>
        <v/>
      </c>
      <c r="F46" s="27">
        <f>IF(AND(MOD((17/80*(60/C5)),(60/C5))&lt;(60/C5*C9),MOD((17/80*(60/C5)),(60/C5))&lt;C12),-ABS(C11)*SIN(PI()*MOD((17/80*(60/C5)),(60/C5))/C12),0)</f>
        <v/>
      </c>
      <c r="G46" s="27">
        <f>C6*(C10/(C7+C10))+(E46/1000)/C10+F46</f>
        <v/>
      </c>
      <c r="H46" s="27">
        <f>C46-G46</f>
        <v/>
      </c>
      <c r="I46" s="27">
        <f>C6+(E46/1000)/C7</f>
        <v/>
      </c>
    </row>
    <row r="47" ht="12.95" customHeight="1" s="44">
      <c r="B47" s="25">
        <f>(18/80*(60/C5))</f>
        <v/>
      </c>
      <c r="C47" s="25">
        <f>IF(MOD((18/80*(60/C5)),(60/C5))&lt;(60/C5*C9),C6+C4,C6)</f>
        <v/>
      </c>
      <c r="D47" s="25">
        <f>IF(MOD((18/80*(60/C5)),(60/C5))&lt;(60/C5*C9),((C6+C4)/C8)*EXP(-MOD((18/80*(60/C5)),(60/C5))/(C8*C7))*60,-(((C6+C4)*C7*(1-EXP(-(60/C5*C9)/(C8*C7))))/(C8*C7))*EXP(-(MOD((18/80*(60/C5)),(60/C5))-(60/C5*C9))/(C8*C7))*60)</f>
        <v/>
      </c>
      <c r="E47" s="26">
        <f>(IF(MOD((18/80*(60/C5)),(60/C5))&lt;(60/C5*C9),(C6+C4)*C7*(1-EXP(-MOD((18/80*(60/C5)),(60/C5))/(C8*C7))),((C6+C4)*C7*(1-EXP(-(60/C5*C9)/(C8*C7))))*EXP(-(MOD((18/80*(60/C5)),(60/C5))-(60/C5*C9))/(C8*C7))))*1000</f>
        <v/>
      </c>
      <c r="F47" s="25">
        <f>IF(AND(MOD((18/80*(60/C5)),(60/C5))&lt;(60/C5*C9),MOD((18/80*(60/C5)),(60/C5))&lt;C12),-ABS(C11)*SIN(PI()*MOD((18/80*(60/C5)),(60/C5))/C12),0)</f>
        <v/>
      </c>
      <c r="G47" s="25">
        <f>C6*(C10/(C7+C10))+(E47/1000)/C10+F47</f>
        <v/>
      </c>
      <c r="H47" s="25">
        <f>C47-G47</f>
        <v/>
      </c>
      <c r="I47" s="25">
        <f>C6+(E47/1000)/C7</f>
        <v/>
      </c>
    </row>
    <row r="48" ht="12.95" customHeight="1" s="44">
      <c r="B48" s="27">
        <f>(19/80*(60/C5))</f>
        <v/>
      </c>
      <c r="C48" s="27">
        <f>IF(MOD((19/80*(60/C5)),(60/C5))&lt;(60/C5*C9),C6+C4,C6)</f>
        <v/>
      </c>
      <c r="D48" s="27">
        <f>IF(MOD((19/80*(60/C5)),(60/C5))&lt;(60/C5*C9),((C6+C4)/C8)*EXP(-MOD((19/80*(60/C5)),(60/C5))/(C8*C7))*60,-(((C6+C4)*C7*(1-EXP(-(60/C5*C9)/(C8*C7))))/(C8*C7))*EXP(-(MOD((19/80*(60/C5)),(60/C5))-(60/C5*C9))/(C8*C7))*60)</f>
        <v/>
      </c>
      <c r="E48" s="28">
        <f>(IF(MOD((19/80*(60/C5)),(60/C5))&lt;(60/C5*C9),(C6+C4)*C7*(1-EXP(-MOD((19/80*(60/C5)),(60/C5))/(C8*C7))),((C6+C4)*C7*(1-EXP(-(60/C5*C9)/(C8*C7))))*EXP(-(MOD((19/80*(60/C5)),(60/C5))-(60/C5*C9))/(C8*C7))))*1000</f>
        <v/>
      </c>
      <c r="F48" s="27">
        <f>IF(AND(MOD((19/80*(60/C5)),(60/C5))&lt;(60/C5*C9),MOD((19/80*(60/C5)),(60/C5))&lt;C12),-ABS(C11)*SIN(PI()*MOD((19/80*(60/C5)),(60/C5))/C12),0)</f>
        <v/>
      </c>
      <c r="G48" s="27">
        <f>C6*(C10/(C7+C10))+(E48/1000)/C10+F48</f>
        <v/>
      </c>
      <c r="H48" s="27">
        <f>C48-G48</f>
        <v/>
      </c>
      <c r="I48" s="27">
        <f>C6+(E48/1000)/C7</f>
        <v/>
      </c>
    </row>
    <row r="49" ht="12.95" customHeight="1" s="44">
      <c r="B49" s="25">
        <f>(20/80*(60/C5))</f>
        <v/>
      </c>
      <c r="C49" s="25">
        <f>IF(MOD((20/80*(60/C5)),(60/C5))&lt;(60/C5*C9),C6+C4,C6)</f>
        <v/>
      </c>
      <c r="D49" s="25">
        <f>IF(MOD((20/80*(60/C5)),(60/C5))&lt;(60/C5*C9),((C6+C4)/C8)*EXP(-MOD((20/80*(60/C5)),(60/C5))/(C8*C7))*60,-(((C6+C4)*C7*(1-EXP(-(60/C5*C9)/(C8*C7))))/(C8*C7))*EXP(-(MOD((20/80*(60/C5)),(60/C5))-(60/C5*C9))/(C8*C7))*60)</f>
        <v/>
      </c>
      <c r="E49" s="26">
        <f>(IF(MOD((20/80*(60/C5)),(60/C5))&lt;(60/C5*C9),(C6+C4)*C7*(1-EXP(-MOD((20/80*(60/C5)),(60/C5))/(C8*C7))),((C6+C4)*C7*(1-EXP(-(60/C5*C9)/(C8*C7))))*EXP(-(MOD((20/80*(60/C5)),(60/C5))-(60/C5*C9))/(C8*C7))))*1000</f>
        <v/>
      </c>
      <c r="F49" s="25">
        <f>IF(AND(MOD((20/80*(60/C5)),(60/C5))&lt;(60/C5*C9),MOD((20/80*(60/C5)),(60/C5))&lt;C12),-ABS(C11)*SIN(PI()*MOD((20/80*(60/C5)),(60/C5))/C12),0)</f>
        <v/>
      </c>
      <c r="G49" s="25">
        <f>C6*(C10/(C7+C10))+(E49/1000)/C10+F49</f>
        <v/>
      </c>
      <c r="H49" s="25">
        <f>C49-G49</f>
        <v/>
      </c>
      <c r="I49" s="25">
        <f>C6+(E49/1000)/C7</f>
        <v/>
      </c>
    </row>
    <row r="50" ht="12.95" customHeight="1" s="44">
      <c r="B50" s="27">
        <f>(21/80*(60/C5))</f>
        <v/>
      </c>
      <c r="C50" s="27">
        <f>IF(MOD((21/80*(60/C5)),(60/C5))&lt;(60/C5*C9),C6+C4,C6)</f>
        <v/>
      </c>
      <c r="D50" s="27">
        <f>IF(MOD((21/80*(60/C5)),(60/C5))&lt;(60/C5*C9),((C6+C4)/C8)*EXP(-MOD((21/80*(60/C5)),(60/C5))/(C8*C7))*60,-(((C6+C4)*C7*(1-EXP(-(60/C5*C9)/(C8*C7))))/(C8*C7))*EXP(-(MOD((21/80*(60/C5)),(60/C5))-(60/C5*C9))/(C8*C7))*60)</f>
        <v/>
      </c>
      <c r="E50" s="28">
        <f>(IF(MOD((21/80*(60/C5)),(60/C5))&lt;(60/C5*C9),(C6+C4)*C7*(1-EXP(-MOD((21/80*(60/C5)),(60/C5))/(C8*C7))),((C6+C4)*C7*(1-EXP(-(60/C5*C9)/(C8*C7))))*EXP(-(MOD((21/80*(60/C5)),(60/C5))-(60/C5*C9))/(C8*C7))))*1000</f>
        <v/>
      </c>
      <c r="F50" s="27">
        <f>IF(AND(MOD((21/80*(60/C5)),(60/C5))&lt;(60/C5*C9),MOD((21/80*(60/C5)),(60/C5))&lt;C12),-ABS(C11)*SIN(PI()*MOD((21/80*(60/C5)),(60/C5))/C12),0)</f>
        <v/>
      </c>
      <c r="G50" s="27">
        <f>C6*(C10/(C7+C10))+(E50/1000)/C10+F50</f>
        <v/>
      </c>
      <c r="H50" s="27">
        <f>C50-G50</f>
        <v/>
      </c>
      <c r="I50" s="27">
        <f>C6+(E50/1000)/C7</f>
        <v/>
      </c>
    </row>
    <row r="51" ht="12.95" customHeight="1" s="44">
      <c r="B51" s="25">
        <f>(22/80*(60/C5))</f>
        <v/>
      </c>
      <c r="C51" s="25">
        <f>IF(MOD((22/80*(60/C5)),(60/C5))&lt;(60/C5*C9),C6+C4,C6)</f>
        <v/>
      </c>
      <c r="D51" s="25">
        <f>IF(MOD((22/80*(60/C5)),(60/C5))&lt;(60/C5*C9),((C6+C4)/C8)*EXP(-MOD((22/80*(60/C5)),(60/C5))/(C8*C7))*60,-(((C6+C4)*C7*(1-EXP(-(60/C5*C9)/(C8*C7))))/(C8*C7))*EXP(-(MOD((22/80*(60/C5)),(60/C5))-(60/C5*C9))/(C8*C7))*60)</f>
        <v/>
      </c>
      <c r="E51" s="26">
        <f>(IF(MOD((22/80*(60/C5)),(60/C5))&lt;(60/C5*C9),(C6+C4)*C7*(1-EXP(-MOD((22/80*(60/C5)),(60/C5))/(C8*C7))),((C6+C4)*C7*(1-EXP(-(60/C5*C9)/(C8*C7))))*EXP(-(MOD((22/80*(60/C5)),(60/C5))-(60/C5*C9))/(C8*C7))))*1000</f>
        <v/>
      </c>
      <c r="F51" s="25">
        <f>IF(AND(MOD((22/80*(60/C5)),(60/C5))&lt;(60/C5*C9),MOD((22/80*(60/C5)),(60/C5))&lt;C12),-ABS(C11)*SIN(PI()*MOD((22/80*(60/C5)),(60/C5))/C12),0)</f>
        <v/>
      </c>
      <c r="G51" s="25">
        <f>C6*(C10/(C7+C10))+(E51/1000)/C10+F51</f>
        <v/>
      </c>
      <c r="H51" s="25">
        <f>C51-G51</f>
        <v/>
      </c>
      <c r="I51" s="25">
        <f>C6+(E51/1000)/C7</f>
        <v/>
      </c>
    </row>
    <row r="52" ht="12.95" customHeight="1" s="44">
      <c r="B52" s="27">
        <f>(23/80*(60/C5))</f>
        <v/>
      </c>
      <c r="C52" s="27">
        <f>IF(MOD((23/80*(60/C5)),(60/C5))&lt;(60/C5*C9),C6+C4,C6)</f>
        <v/>
      </c>
      <c r="D52" s="27">
        <f>IF(MOD((23/80*(60/C5)),(60/C5))&lt;(60/C5*C9),((C6+C4)/C8)*EXP(-MOD((23/80*(60/C5)),(60/C5))/(C8*C7))*60,-(((C6+C4)*C7*(1-EXP(-(60/C5*C9)/(C8*C7))))/(C8*C7))*EXP(-(MOD((23/80*(60/C5)),(60/C5))-(60/C5*C9))/(C8*C7))*60)</f>
        <v/>
      </c>
      <c r="E52" s="28">
        <f>(IF(MOD((23/80*(60/C5)),(60/C5))&lt;(60/C5*C9),(C6+C4)*C7*(1-EXP(-MOD((23/80*(60/C5)),(60/C5))/(C8*C7))),((C6+C4)*C7*(1-EXP(-(60/C5*C9)/(C8*C7))))*EXP(-(MOD((23/80*(60/C5)),(60/C5))-(60/C5*C9))/(C8*C7))))*1000</f>
        <v/>
      </c>
      <c r="F52" s="27">
        <f>IF(AND(MOD((23/80*(60/C5)),(60/C5))&lt;(60/C5*C9),MOD((23/80*(60/C5)),(60/C5))&lt;C12),-ABS(C11)*SIN(PI()*MOD((23/80*(60/C5)),(60/C5))/C12),0)</f>
        <v/>
      </c>
      <c r="G52" s="27">
        <f>C6*(C10/(C7+C10))+(E52/1000)/C10+F52</f>
        <v/>
      </c>
      <c r="H52" s="27">
        <f>C52-G52</f>
        <v/>
      </c>
      <c r="I52" s="27">
        <f>C6+(E52/1000)/C7</f>
        <v/>
      </c>
    </row>
    <row r="53" ht="12.95" customHeight="1" s="44">
      <c r="B53" s="25">
        <f>(24/80*(60/C5))</f>
        <v/>
      </c>
      <c r="C53" s="25">
        <f>IF(MOD((24/80*(60/C5)),(60/C5))&lt;(60/C5*C9),C6+C4,C6)</f>
        <v/>
      </c>
      <c r="D53" s="25">
        <f>IF(MOD((24/80*(60/C5)),(60/C5))&lt;(60/C5*C9),((C6+C4)/C8)*EXP(-MOD((24/80*(60/C5)),(60/C5))/(C8*C7))*60,-(((C6+C4)*C7*(1-EXP(-(60/C5*C9)/(C8*C7))))/(C8*C7))*EXP(-(MOD((24/80*(60/C5)),(60/C5))-(60/C5*C9))/(C8*C7))*60)</f>
        <v/>
      </c>
      <c r="E53" s="26">
        <f>(IF(MOD((24/80*(60/C5)),(60/C5))&lt;(60/C5*C9),(C6+C4)*C7*(1-EXP(-MOD((24/80*(60/C5)),(60/C5))/(C8*C7))),((C6+C4)*C7*(1-EXP(-(60/C5*C9)/(C8*C7))))*EXP(-(MOD((24/80*(60/C5)),(60/C5))-(60/C5*C9))/(C8*C7))))*1000</f>
        <v/>
      </c>
      <c r="F53" s="25">
        <f>IF(AND(MOD((24/80*(60/C5)),(60/C5))&lt;(60/C5*C9),MOD((24/80*(60/C5)),(60/C5))&lt;C12),-ABS(C11)*SIN(PI()*MOD((24/80*(60/C5)),(60/C5))/C12),0)</f>
        <v/>
      </c>
      <c r="G53" s="25">
        <f>C6*(C10/(C7+C10))+(E53/1000)/C10+F53</f>
        <v/>
      </c>
      <c r="H53" s="25">
        <f>C53-G53</f>
        <v/>
      </c>
      <c r="I53" s="25">
        <f>C6+(E53/1000)/C7</f>
        <v/>
      </c>
    </row>
    <row r="54" ht="12.95" customHeight="1" s="44">
      <c r="B54" s="27">
        <f>(25/80*(60/C5))</f>
        <v/>
      </c>
      <c r="C54" s="27">
        <f>IF(MOD((25/80*(60/C5)),(60/C5))&lt;(60/C5*C9),C6+C4,C6)</f>
        <v/>
      </c>
      <c r="D54" s="27">
        <f>IF(MOD((25/80*(60/C5)),(60/C5))&lt;(60/C5*C9),((C6+C4)/C8)*EXP(-MOD((25/80*(60/C5)),(60/C5))/(C8*C7))*60,-(((C6+C4)*C7*(1-EXP(-(60/C5*C9)/(C8*C7))))/(C8*C7))*EXP(-(MOD((25/80*(60/C5)),(60/C5))-(60/C5*C9))/(C8*C7))*60)</f>
        <v/>
      </c>
      <c r="E54" s="28">
        <f>(IF(MOD((25/80*(60/C5)),(60/C5))&lt;(60/C5*C9),(C6+C4)*C7*(1-EXP(-MOD((25/80*(60/C5)),(60/C5))/(C8*C7))),((C6+C4)*C7*(1-EXP(-(60/C5*C9)/(C8*C7))))*EXP(-(MOD((25/80*(60/C5)),(60/C5))-(60/C5*C9))/(C8*C7))))*1000</f>
        <v/>
      </c>
      <c r="F54" s="27">
        <f>IF(AND(MOD((25/80*(60/C5)),(60/C5))&lt;(60/C5*C9),MOD((25/80*(60/C5)),(60/C5))&lt;C12),-ABS(C11)*SIN(PI()*MOD((25/80*(60/C5)),(60/C5))/C12),0)</f>
        <v/>
      </c>
      <c r="G54" s="27">
        <f>C6*(C10/(C7+C10))+(E54/1000)/C10+F54</f>
        <v/>
      </c>
      <c r="H54" s="27">
        <f>C54-G54</f>
        <v/>
      </c>
      <c r="I54" s="27">
        <f>C6+(E54/1000)/C7</f>
        <v/>
      </c>
    </row>
    <row r="55" ht="12.95" customHeight="1" s="44">
      <c r="B55" s="25">
        <f>(26/80*(60/C5))</f>
        <v/>
      </c>
      <c r="C55" s="25">
        <f>IF(MOD((26/80*(60/C5)),(60/C5))&lt;(60/C5*C9),C6+C4,C6)</f>
        <v/>
      </c>
      <c r="D55" s="25">
        <f>IF(MOD((26/80*(60/C5)),(60/C5))&lt;(60/C5*C9),((C6+C4)/C8)*EXP(-MOD((26/80*(60/C5)),(60/C5))/(C8*C7))*60,-(((C6+C4)*C7*(1-EXP(-(60/C5*C9)/(C8*C7))))/(C8*C7))*EXP(-(MOD((26/80*(60/C5)),(60/C5))-(60/C5*C9))/(C8*C7))*60)</f>
        <v/>
      </c>
      <c r="E55" s="26">
        <f>(IF(MOD((26/80*(60/C5)),(60/C5))&lt;(60/C5*C9),(C6+C4)*C7*(1-EXP(-MOD((26/80*(60/C5)),(60/C5))/(C8*C7))),((C6+C4)*C7*(1-EXP(-(60/C5*C9)/(C8*C7))))*EXP(-(MOD((26/80*(60/C5)),(60/C5))-(60/C5*C9))/(C8*C7))))*1000</f>
        <v/>
      </c>
      <c r="F55" s="25">
        <f>IF(AND(MOD((26/80*(60/C5)),(60/C5))&lt;(60/C5*C9),MOD((26/80*(60/C5)),(60/C5))&lt;C12),-ABS(C11)*SIN(PI()*MOD((26/80*(60/C5)),(60/C5))/C12),0)</f>
        <v/>
      </c>
      <c r="G55" s="25">
        <f>C6*(C10/(C7+C10))+(E55/1000)/C10+F55</f>
        <v/>
      </c>
      <c r="H55" s="25">
        <f>C55-G55</f>
        <v/>
      </c>
      <c r="I55" s="25">
        <f>C6+(E55/1000)/C7</f>
        <v/>
      </c>
    </row>
    <row r="56" ht="12.95" customHeight="1" s="44">
      <c r="B56" s="27">
        <f>(27/80*(60/C5))</f>
        <v/>
      </c>
      <c r="C56" s="27">
        <f>IF(MOD((27/80*(60/C5)),(60/C5))&lt;(60/C5*C9),C6+C4,C6)</f>
        <v/>
      </c>
      <c r="D56" s="27">
        <f>IF(MOD((27/80*(60/C5)),(60/C5))&lt;(60/C5*C9),((C6+C4)/C8)*EXP(-MOD((27/80*(60/C5)),(60/C5))/(C8*C7))*60,-(((C6+C4)*C7*(1-EXP(-(60/C5*C9)/(C8*C7))))/(C8*C7))*EXP(-(MOD((27/80*(60/C5)),(60/C5))-(60/C5*C9))/(C8*C7))*60)</f>
        <v/>
      </c>
      <c r="E56" s="28">
        <f>(IF(MOD((27/80*(60/C5)),(60/C5))&lt;(60/C5*C9),(C6+C4)*C7*(1-EXP(-MOD((27/80*(60/C5)),(60/C5))/(C8*C7))),((C6+C4)*C7*(1-EXP(-(60/C5*C9)/(C8*C7))))*EXP(-(MOD((27/80*(60/C5)),(60/C5))-(60/C5*C9))/(C8*C7))))*1000</f>
        <v/>
      </c>
      <c r="F56" s="27">
        <f>IF(AND(MOD((27/80*(60/C5)),(60/C5))&lt;(60/C5*C9),MOD((27/80*(60/C5)),(60/C5))&lt;C12),-ABS(C11)*SIN(PI()*MOD((27/80*(60/C5)),(60/C5))/C12),0)</f>
        <v/>
      </c>
      <c r="G56" s="27">
        <f>C6*(C10/(C7+C10))+(E56/1000)/C10+F56</f>
        <v/>
      </c>
      <c r="H56" s="27">
        <f>C56-G56</f>
        <v/>
      </c>
      <c r="I56" s="27">
        <f>C6+(E56/1000)/C7</f>
        <v/>
      </c>
    </row>
    <row r="57" ht="12.95" customHeight="1" s="44">
      <c r="B57" s="25">
        <f>(28/80*(60/C5))</f>
        <v/>
      </c>
      <c r="C57" s="25">
        <f>IF(MOD((28/80*(60/C5)),(60/C5))&lt;(60/C5*C9),C6+C4,C6)</f>
        <v/>
      </c>
      <c r="D57" s="25">
        <f>IF(MOD((28/80*(60/C5)),(60/C5))&lt;(60/C5*C9),((C6+C4)/C8)*EXP(-MOD((28/80*(60/C5)),(60/C5))/(C8*C7))*60,-(((C6+C4)*C7*(1-EXP(-(60/C5*C9)/(C8*C7))))/(C8*C7))*EXP(-(MOD((28/80*(60/C5)),(60/C5))-(60/C5*C9))/(C8*C7))*60)</f>
        <v/>
      </c>
      <c r="E57" s="26">
        <f>(IF(MOD((28/80*(60/C5)),(60/C5))&lt;(60/C5*C9),(C6+C4)*C7*(1-EXP(-MOD((28/80*(60/C5)),(60/C5))/(C8*C7))),((C6+C4)*C7*(1-EXP(-(60/C5*C9)/(C8*C7))))*EXP(-(MOD((28/80*(60/C5)),(60/C5))-(60/C5*C9))/(C8*C7))))*1000</f>
        <v/>
      </c>
      <c r="F57" s="25">
        <f>IF(AND(MOD((28/80*(60/C5)),(60/C5))&lt;(60/C5*C9),MOD((28/80*(60/C5)),(60/C5))&lt;C12),-ABS(C11)*SIN(PI()*MOD((28/80*(60/C5)),(60/C5))/C12),0)</f>
        <v/>
      </c>
      <c r="G57" s="25">
        <f>C6*(C10/(C7+C10))+(E57/1000)/C10+F57</f>
        <v/>
      </c>
      <c r="H57" s="25">
        <f>C57-G57</f>
        <v/>
      </c>
      <c r="I57" s="25">
        <f>C6+(E57/1000)/C7</f>
        <v/>
      </c>
    </row>
    <row r="58" ht="12.95" customHeight="1" s="44">
      <c r="B58" s="27">
        <f>(29/80*(60/C5))</f>
        <v/>
      </c>
      <c r="C58" s="27">
        <f>IF(MOD((29/80*(60/C5)),(60/C5))&lt;(60/C5*C9),C6+C4,C6)</f>
        <v/>
      </c>
      <c r="D58" s="27">
        <f>IF(MOD((29/80*(60/C5)),(60/C5))&lt;(60/C5*C9),((C6+C4)/C8)*EXP(-MOD((29/80*(60/C5)),(60/C5))/(C8*C7))*60,-(((C6+C4)*C7*(1-EXP(-(60/C5*C9)/(C8*C7))))/(C8*C7))*EXP(-(MOD((29/80*(60/C5)),(60/C5))-(60/C5*C9))/(C8*C7))*60)</f>
        <v/>
      </c>
      <c r="E58" s="28">
        <f>(IF(MOD((29/80*(60/C5)),(60/C5))&lt;(60/C5*C9),(C6+C4)*C7*(1-EXP(-MOD((29/80*(60/C5)),(60/C5))/(C8*C7))),((C6+C4)*C7*(1-EXP(-(60/C5*C9)/(C8*C7))))*EXP(-(MOD((29/80*(60/C5)),(60/C5))-(60/C5*C9))/(C8*C7))))*1000</f>
        <v/>
      </c>
      <c r="F58" s="27">
        <f>IF(AND(MOD((29/80*(60/C5)),(60/C5))&lt;(60/C5*C9),MOD((29/80*(60/C5)),(60/C5))&lt;C12),-ABS(C11)*SIN(PI()*MOD((29/80*(60/C5)),(60/C5))/C12),0)</f>
        <v/>
      </c>
      <c r="G58" s="27">
        <f>C6*(C10/(C7+C10))+(E58/1000)/C10+F58</f>
        <v/>
      </c>
      <c r="H58" s="27">
        <f>C58-G58</f>
        <v/>
      </c>
      <c r="I58" s="27">
        <f>C6+(E58/1000)/C7</f>
        <v/>
      </c>
    </row>
    <row r="59" ht="12.95" customHeight="1" s="44">
      <c r="B59" s="25">
        <f>(30/80*(60/C5))</f>
        <v/>
      </c>
      <c r="C59" s="25">
        <f>IF(MOD((30/80*(60/C5)),(60/C5))&lt;(60/C5*C9),C6+C4,C6)</f>
        <v/>
      </c>
      <c r="D59" s="25">
        <f>IF(MOD((30/80*(60/C5)),(60/C5))&lt;(60/C5*C9),((C6+C4)/C8)*EXP(-MOD((30/80*(60/C5)),(60/C5))/(C8*C7))*60,-(((C6+C4)*C7*(1-EXP(-(60/C5*C9)/(C8*C7))))/(C8*C7))*EXP(-(MOD((30/80*(60/C5)),(60/C5))-(60/C5*C9))/(C8*C7))*60)</f>
        <v/>
      </c>
      <c r="E59" s="26">
        <f>(IF(MOD((30/80*(60/C5)),(60/C5))&lt;(60/C5*C9),(C6+C4)*C7*(1-EXP(-MOD((30/80*(60/C5)),(60/C5))/(C8*C7))),((C6+C4)*C7*(1-EXP(-(60/C5*C9)/(C8*C7))))*EXP(-(MOD((30/80*(60/C5)),(60/C5))-(60/C5*C9))/(C8*C7))))*1000</f>
        <v/>
      </c>
      <c r="F59" s="25">
        <f>IF(AND(MOD((30/80*(60/C5)),(60/C5))&lt;(60/C5*C9),MOD((30/80*(60/C5)),(60/C5))&lt;C12),-ABS(C11)*SIN(PI()*MOD((30/80*(60/C5)),(60/C5))/C12),0)</f>
        <v/>
      </c>
      <c r="G59" s="25">
        <f>C6*(C10/(C7+C10))+(E59/1000)/C10+F59</f>
        <v/>
      </c>
      <c r="H59" s="25">
        <f>C59-G59</f>
        <v/>
      </c>
      <c r="I59" s="25">
        <f>C6+(E59/1000)/C7</f>
        <v/>
      </c>
    </row>
    <row r="60" ht="12.95" customHeight="1" s="44">
      <c r="B60" s="27">
        <f>(31/80*(60/C5))</f>
        <v/>
      </c>
      <c r="C60" s="27">
        <f>IF(MOD((31/80*(60/C5)),(60/C5))&lt;(60/C5*C9),C6+C4,C6)</f>
        <v/>
      </c>
      <c r="D60" s="27">
        <f>IF(MOD((31/80*(60/C5)),(60/C5))&lt;(60/C5*C9),((C6+C4)/C8)*EXP(-MOD((31/80*(60/C5)),(60/C5))/(C8*C7))*60,-(((C6+C4)*C7*(1-EXP(-(60/C5*C9)/(C8*C7))))/(C8*C7))*EXP(-(MOD((31/80*(60/C5)),(60/C5))-(60/C5*C9))/(C8*C7))*60)</f>
        <v/>
      </c>
      <c r="E60" s="28">
        <f>(IF(MOD((31/80*(60/C5)),(60/C5))&lt;(60/C5*C9),(C6+C4)*C7*(1-EXP(-MOD((31/80*(60/C5)),(60/C5))/(C8*C7))),((C6+C4)*C7*(1-EXP(-(60/C5*C9)/(C8*C7))))*EXP(-(MOD((31/80*(60/C5)),(60/C5))-(60/C5*C9))/(C8*C7))))*1000</f>
        <v/>
      </c>
      <c r="F60" s="27">
        <f>IF(AND(MOD((31/80*(60/C5)),(60/C5))&lt;(60/C5*C9),MOD((31/80*(60/C5)),(60/C5))&lt;C12),-ABS(C11)*SIN(PI()*MOD((31/80*(60/C5)),(60/C5))/C12),0)</f>
        <v/>
      </c>
      <c r="G60" s="27">
        <f>C6*(C10/(C7+C10))+(E60/1000)/C10+F60</f>
        <v/>
      </c>
      <c r="H60" s="27">
        <f>C60-G60</f>
        <v/>
      </c>
      <c r="I60" s="27">
        <f>C6+(E60/1000)/C7</f>
        <v/>
      </c>
    </row>
    <row r="61" ht="12.95" customHeight="1" s="44">
      <c r="B61" s="25">
        <f>(32/80*(60/C5))</f>
        <v/>
      </c>
      <c r="C61" s="25">
        <f>IF(MOD((32/80*(60/C5)),(60/C5))&lt;(60/C5*C9),C6+C4,C6)</f>
        <v/>
      </c>
      <c r="D61" s="25">
        <f>IF(MOD((32/80*(60/C5)),(60/C5))&lt;(60/C5*C9),((C6+C4)/C8)*EXP(-MOD((32/80*(60/C5)),(60/C5))/(C8*C7))*60,-(((C6+C4)*C7*(1-EXP(-(60/C5*C9)/(C8*C7))))/(C8*C7))*EXP(-(MOD((32/80*(60/C5)),(60/C5))-(60/C5*C9))/(C8*C7))*60)</f>
        <v/>
      </c>
      <c r="E61" s="26">
        <f>(IF(MOD((32/80*(60/C5)),(60/C5))&lt;(60/C5*C9),(C6+C4)*C7*(1-EXP(-MOD((32/80*(60/C5)),(60/C5))/(C8*C7))),((C6+C4)*C7*(1-EXP(-(60/C5*C9)/(C8*C7))))*EXP(-(MOD((32/80*(60/C5)),(60/C5))-(60/C5*C9))/(C8*C7))))*1000</f>
        <v/>
      </c>
      <c r="F61" s="25">
        <f>IF(AND(MOD((32/80*(60/C5)),(60/C5))&lt;(60/C5*C9),MOD((32/80*(60/C5)),(60/C5))&lt;C12),-ABS(C11)*SIN(PI()*MOD((32/80*(60/C5)),(60/C5))/C12),0)</f>
        <v/>
      </c>
      <c r="G61" s="25">
        <f>C6*(C10/(C7+C10))+(E61/1000)/C10+F61</f>
        <v/>
      </c>
      <c r="H61" s="25">
        <f>C61-G61</f>
        <v/>
      </c>
      <c r="I61" s="25">
        <f>C6+(E61/1000)/C7</f>
        <v/>
      </c>
    </row>
    <row r="62" ht="12.95" customHeight="1" s="44">
      <c r="B62" s="27">
        <f>(33/80*(60/C5))</f>
        <v/>
      </c>
      <c r="C62" s="27">
        <f>IF(MOD((33/80*(60/C5)),(60/C5))&lt;(60/C5*C9),C6+C4,C6)</f>
        <v/>
      </c>
      <c r="D62" s="27">
        <f>IF(MOD((33/80*(60/C5)),(60/C5))&lt;(60/C5*C9),((C6+C4)/C8)*EXP(-MOD((33/80*(60/C5)),(60/C5))/(C8*C7))*60,-(((C6+C4)*C7*(1-EXP(-(60/C5*C9)/(C8*C7))))/(C8*C7))*EXP(-(MOD((33/80*(60/C5)),(60/C5))-(60/C5*C9))/(C8*C7))*60)</f>
        <v/>
      </c>
      <c r="E62" s="28">
        <f>(IF(MOD((33/80*(60/C5)),(60/C5))&lt;(60/C5*C9),(C6+C4)*C7*(1-EXP(-MOD((33/80*(60/C5)),(60/C5))/(C8*C7))),((C6+C4)*C7*(1-EXP(-(60/C5*C9)/(C8*C7))))*EXP(-(MOD((33/80*(60/C5)),(60/C5))-(60/C5*C9))/(C8*C7))))*1000</f>
        <v/>
      </c>
      <c r="F62" s="27">
        <f>IF(AND(MOD((33/80*(60/C5)),(60/C5))&lt;(60/C5*C9),MOD((33/80*(60/C5)),(60/C5))&lt;C12),-ABS(C11)*SIN(PI()*MOD((33/80*(60/C5)),(60/C5))/C12),0)</f>
        <v/>
      </c>
      <c r="G62" s="27">
        <f>C6*(C10/(C7+C10))+(E62/1000)/C10+F62</f>
        <v/>
      </c>
      <c r="H62" s="27">
        <f>C62-G62</f>
        <v/>
      </c>
      <c r="I62" s="27">
        <f>C6+(E62/1000)/C7</f>
        <v/>
      </c>
    </row>
    <row r="63" ht="12.95" customHeight="1" s="44">
      <c r="B63" s="25">
        <f>(34/80*(60/C5))</f>
        <v/>
      </c>
      <c r="C63" s="25">
        <f>IF(MOD((34/80*(60/C5)),(60/C5))&lt;(60/C5*C9),C6+C4,C6)</f>
        <v/>
      </c>
      <c r="D63" s="25">
        <f>IF(MOD((34/80*(60/C5)),(60/C5))&lt;(60/C5*C9),((C6+C4)/C8)*EXP(-MOD((34/80*(60/C5)),(60/C5))/(C8*C7))*60,-(((C6+C4)*C7*(1-EXP(-(60/C5*C9)/(C8*C7))))/(C8*C7))*EXP(-(MOD((34/80*(60/C5)),(60/C5))-(60/C5*C9))/(C8*C7))*60)</f>
        <v/>
      </c>
      <c r="E63" s="26">
        <f>(IF(MOD((34/80*(60/C5)),(60/C5))&lt;(60/C5*C9),(C6+C4)*C7*(1-EXP(-MOD((34/80*(60/C5)),(60/C5))/(C8*C7))),((C6+C4)*C7*(1-EXP(-(60/C5*C9)/(C8*C7))))*EXP(-(MOD((34/80*(60/C5)),(60/C5))-(60/C5*C9))/(C8*C7))))*1000</f>
        <v/>
      </c>
      <c r="F63" s="25">
        <f>IF(AND(MOD((34/80*(60/C5)),(60/C5))&lt;(60/C5*C9),MOD((34/80*(60/C5)),(60/C5))&lt;C12),-ABS(C11)*SIN(PI()*MOD((34/80*(60/C5)),(60/C5))/C12),0)</f>
        <v/>
      </c>
      <c r="G63" s="25">
        <f>C6*(C10/(C7+C10))+(E63/1000)/C10+F63</f>
        <v/>
      </c>
      <c r="H63" s="25">
        <f>C63-G63</f>
        <v/>
      </c>
      <c r="I63" s="25">
        <f>C6+(E63/1000)/C7</f>
        <v/>
      </c>
    </row>
    <row r="64" ht="12.95" customHeight="1" s="44">
      <c r="B64" s="27">
        <f>(35/80*(60/C5))</f>
        <v/>
      </c>
      <c r="C64" s="27">
        <f>IF(MOD((35/80*(60/C5)),(60/C5))&lt;(60/C5*C9),C6+C4,C6)</f>
        <v/>
      </c>
      <c r="D64" s="27">
        <f>IF(MOD((35/80*(60/C5)),(60/C5))&lt;(60/C5*C9),((C6+C4)/C8)*EXP(-MOD((35/80*(60/C5)),(60/C5))/(C8*C7))*60,-(((C6+C4)*C7*(1-EXP(-(60/C5*C9)/(C8*C7))))/(C8*C7))*EXP(-(MOD((35/80*(60/C5)),(60/C5))-(60/C5*C9))/(C8*C7))*60)</f>
        <v/>
      </c>
      <c r="E64" s="28">
        <f>(IF(MOD((35/80*(60/C5)),(60/C5))&lt;(60/C5*C9),(C6+C4)*C7*(1-EXP(-MOD((35/80*(60/C5)),(60/C5))/(C8*C7))),((C6+C4)*C7*(1-EXP(-(60/C5*C9)/(C8*C7))))*EXP(-(MOD((35/80*(60/C5)),(60/C5))-(60/C5*C9))/(C8*C7))))*1000</f>
        <v/>
      </c>
      <c r="F64" s="27">
        <f>IF(AND(MOD((35/80*(60/C5)),(60/C5))&lt;(60/C5*C9),MOD((35/80*(60/C5)),(60/C5))&lt;C12),-ABS(C11)*SIN(PI()*MOD((35/80*(60/C5)),(60/C5))/C12),0)</f>
        <v/>
      </c>
      <c r="G64" s="27">
        <f>C6*(C10/(C7+C10))+(E64/1000)/C10+F64</f>
        <v/>
      </c>
      <c r="H64" s="27">
        <f>C64-G64</f>
        <v/>
      </c>
      <c r="I64" s="27">
        <f>C6+(E64/1000)/C7</f>
        <v/>
      </c>
    </row>
    <row r="65" ht="12.95" customHeight="1" s="44">
      <c r="B65" s="25">
        <f>(36/80*(60/C5))</f>
        <v/>
      </c>
      <c r="C65" s="25">
        <f>IF(MOD((36/80*(60/C5)),(60/C5))&lt;(60/C5*C9),C6+C4,C6)</f>
        <v/>
      </c>
      <c r="D65" s="25">
        <f>IF(MOD((36/80*(60/C5)),(60/C5))&lt;(60/C5*C9),((C6+C4)/C8)*EXP(-MOD((36/80*(60/C5)),(60/C5))/(C8*C7))*60,-(((C6+C4)*C7*(1-EXP(-(60/C5*C9)/(C8*C7))))/(C8*C7))*EXP(-(MOD((36/80*(60/C5)),(60/C5))-(60/C5*C9))/(C8*C7))*60)</f>
        <v/>
      </c>
      <c r="E65" s="26">
        <f>(IF(MOD((36/80*(60/C5)),(60/C5))&lt;(60/C5*C9),(C6+C4)*C7*(1-EXP(-MOD((36/80*(60/C5)),(60/C5))/(C8*C7))),((C6+C4)*C7*(1-EXP(-(60/C5*C9)/(C8*C7))))*EXP(-(MOD((36/80*(60/C5)),(60/C5))-(60/C5*C9))/(C8*C7))))*1000</f>
        <v/>
      </c>
      <c r="F65" s="25">
        <f>IF(AND(MOD((36/80*(60/C5)),(60/C5))&lt;(60/C5*C9),MOD((36/80*(60/C5)),(60/C5))&lt;C12),-ABS(C11)*SIN(PI()*MOD((36/80*(60/C5)),(60/C5))/C12),0)</f>
        <v/>
      </c>
      <c r="G65" s="25">
        <f>C6*(C10/(C7+C10))+(E65/1000)/C10+F65</f>
        <v/>
      </c>
      <c r="H65" s="25">
        <f>C65-G65</f>
        <v/>
      </c>
      <c r="I65" s="25">
        <f>C6+(E65/1000)/C7</f>
        <v/>
      </c>
    </row>
    <row r="66" ht="12.95" customHeight="1" s="44">
      <c r="B66" s="27">
        <f>(37/80*(60/C5))</f>
        <v/>
      </c>
      <c r="C66" s="27">
        <f>IF(MOD((37/80*(60/C5)),(60/C5))&lt;(60/C5*C9),C6+C4,C6)</f>
        <v/>
      </c>
      <c r="D66" s="27">
        <f>IF(MOD((37/80*(60/C5)),(60/C5))&lt;(60/C5*C9),((C6+C4)/C8)*EXP(-MOD((37/80*(60/C5)),(60/C5))/(C8*C7))*60,-(((C6+C4)*C7*(1-EXP(-(60/C5*C9)/(C8*C7))))/(C8*C7))*EXP(-(MOD((37/80*(60/C5)),(60/C5))-(60/C5*C9))/(C8*C7))*60)</f>
        <v/>
      </c>
      <c r="E66" s="28">
        <f>(IF(MOD((37/80*(60/C5)),(60/C5))&lt;(60/C5*C9),(C6+C4)*C7*(1-EXP(-MOD((37/80*(60/C5)),(60/C5))/(C8*C7))),((C6+C4)*C7*(1-EXP(-(60/C5*C9)/(C8*C7))))*EXP(-(MOD((37/80*(60/C5)),(60/C5))-(60/C5*C9))/(C8*C7))))*1000</f>
        <v/>
      </c>
      <c r="F66" s="27">
        <f>IF(AND(MOD((37/80*(60/C5)),(60/C5))&lt;(60/C5*C9),MOD((37/80*(60/C5)),(60/C5))&lt;C12),-ABS(C11)*SIN(PI()*MOD((37/80*(60/C5)),(60/C5))/C12),0)</f>
        <v/>
      </c>
      <c r="G66" s="27">
        <f>C6*(C10/(C7+C10))+(E66/1000)/C10+F66</f>
        <v/>
      </c>
      <c r="H66" s="27">
        <f>C66-G66</f>
        <v/>
      </c>
      <c r="I66" s="27">
        <f>C6+(E66/1000)/C7</f>
        <v/>
      </c>
    </row>
    <row r="67" ht="12.95" customHeight="1" s="44">
      <c r="B67" s="25">
        <f>(38/80*(60/C5))</f>
        <v/>
      </c>
      <c r="C67" s="25">
        <f>IF(MOD((38/80*(60/C5)),(60/C5))&lt;(60/C5*C9),C6+C4,C6)</f>
        <v/>
      </c>
      <c r="D67" s="25">
        <f>IF(MOD((38/80*(60/C5)),(60/C5))&lt;(60/C5*C9),((C6+C4)/C8)*EXP(-MOD((38/80*(60/C5)),(60/C5))/(C8*C7))*60,-(((C6+C4)*C7*(1-EXP(-(60/C5*C9)/(C8*C7))))/(C8*C7))*EXP(-(MOD((38/80*(60/C5)),(60/C5))-(60/C5*C9))/(C8*C7))*60)</f>
        <v/>
      </c>
      <c r="E67" s="26">
        <f>(IF(MOD((38/80*(60/C5)),(60/C5))&lt;(60/C5*C9),(C6+C4)*C7*(1-EXP(-MOD((38/80*(60/C5)),(60/C5))/(C8*C7))),((C6+C4)*C7*(1-EXP(-(60/C5*C9)/(C8*C7))))*EXP(-(MOD((38/80*(60/C5)),(60/C5))-(60/C5*C9))/(C8*C7))))*1000</f>
        <v/>
      </c>
      <c r="F67" s="25">
        <f>IF(AND(MOD((38/80*(60/C5)),(60/C5))&lt;(60/C5*C9),MOD((38/80*(60/C5)),(60/C5))&lt;C12),-ABS(C11)*SIN(PI()*MOD((38/80*(60/C5)),(60/C5))/C12),0)</f>
        <v/>
      </c>
      <c r="G67" s="25">
        <f>C6*(C10/(C7+C10))+(E67/1000)/C10+F67</f>
        <v/>
      </c>
      <c r="H67" s="25">
        <f>C67-G67</f>
        <v/>
      </c>
      <c r="I67" s="25">
        <f>C6+(E67/1000)/C7</f>
        <v/>
      </c>
    </row>
    <row r="68" ht="12.95" customHeight="1" s="44">
      <c r="B68" s="27">
        <f>(39/80*(60/C5))</f>
        <v/>
      </c>
      <c r="C68" s="27">
        <f>IF(MOD((39/80*(60/C5)),(60/C5))&lt;(60/C5*C9),C6+C4,C6)</f>
        <v/>
      </c>
      <c r="D68" s="27">
        <f>IF(MOD((39/80*(60/C5)),(60/C5))&lt;(60/C5*C9),((C6+C4)/C8)*EXP(-MOD((39/80*(60/C5)),(60/C5))/(C8*C7))*60,-(((C6+C4)*C7*(1-EXP(-(60/C5*C9)/(C8*C7))))/(C8*C7))*EXP(-(MOD((39/80*(60/C5)),(60/C5))-(60/C5*C9))/(C8*C7))*60)</f>
        <v/>
      </c>
      <c r="E68" s="28">
        <f>(IF(MOD((39/80*(60/C5)),(60/C5))&lt;(60/C5*C9),(C6+C4)*C7*(1-EXP(-MOD((39/80*(60/C5)),(60/C5))/(C8*C7))),((C6+C4)*C7*(1-EXP(-(60/C5*C9)/(C8*C7))))*EXP(-(MOD((39/80*(60/C5)),(60/C5))-(60/C5*C9))/(C8*C7))))*1000</f>
        <v/>
      </c>
      <c r="F68" s="27">
        <f>IF(AND(MOD((39/80*(60/C5)),(60/C5))&lt;(60/C5*C9),MOD((39/80*(60/C5)),(60/C5))&lt;C12),-ABS(C11)*SIN(PI()*MOD((39/80*(60/C5)),(60/C5))/C12),0)</f>
        <v/>
      </c>
      <c r="G68" s="27">
        <f>C6*(C10/(C7+C10))+(E68/1000)/C10+F68</f>
        <v/>
      </c>
      <c r="H68" s="27">
        <f>C68-G68</f>
        <v/>
      </c>
      <c r="I68" s="27">
        <f>C6+(E68/1000)/C7</f>
        <v/>
      </c>
    </row>
    <row r="69" ht="12.95" customHeight="1" s="44">
      <c r="B69" s="25">
        <f>(40/80*(60/C5))</f>
        <v/>
      </c>
      <c r="C69" s="25">
        <f>IF(MOD((40/80*(60/C5)),(60/C5))&lt;(60/C5*C9),C6+C4,C6)</f>
        <v/>
      </c>
      <c r="D69" s="25">
        <f>IF(MOD((40/80*(60/C5)),(60/C5))&lt;(60/C5*C9),((C6+C4)/C8)*EXP(-MOD((40/80*(60/C5)),(60/C5))/(C8*C7))*60,-(((C6+C4)*C7*(1-EXP(-(60/C5*C9)/(C8*C7))))/(C8*C7))*EXP(-(MOD((40/80*(60/C5)),(60/C5))-(60/C5*C9))/(C8*C7))*60)</f>
        <v/>
      </c>
      <c r="E69" s="26">
        <f>(IF(MOD((40/80*(60/C5)),(60/C5))&lt;(60/C5*C9),(C6+C4)*C7*(1-EXP(-MOD((40/80*(60/C5)),(60/C5))/(C8*C7))),((C6+C4)*C7*(1-EXP(-(60/C5*C9)/(C8*C7))))*EXP(-(MOD((40/80*(60/C5)),(60/C5))-(60/C5*C9))/(C8*C7))))*1000</f>
        <v/>
      </c>
      <c r="F69" s="25">
        <f>IF(AND(MOD((40/80*(60/C5)),(60/C5))&lt;(60/C5*C9),MOD((40/80*(60/C5)),(60/C5))&lt;C12),-ABS(C11)*SIN(PI()*MOD((40/80*(60/C5)),(60/C5))/C12),0)</f>
        <v/>
      </c>
      <c r="G69" s="25">
        <f>C6*(C10/(C7+C10))+(E69/1000)/C10+F69</f>
        <v/>
      </c>
      <c r="H69" s="25">
        <f>C69-G69</f>
        <v/>
      </c>
      <c r="I69" s="25">
        <f>C6+(E69/1000)/C7</f>
        <v/>
      </c>
    </row>
    <row r="70" ht="12.95" customHeight="1" s="44">
      <c r="B70" s="27">
        <f>(41/80*(60/C5))</f>
        <v/>
      </c>
      <c r="C70" s="27">
        <f>IF(MOD((41/80*(60/C5)),(60/C5))&lt;(60/C5*C9),C6+C4,C6)</f>
        <v/>
      </c>
      <c r="D70" s="27">
        <f>IF(MOD((41/80*(60/C5)),(60/C5))&lt;(60/C5*C9),((C6+C4)/C8)*EXP(-MOD((41/80*(60/C5)),(60/C5))/(C8*C7))*60,-(((C6+C4)*C7*(1-EXP(-(60/C5*C9)/(C8*C7))))/(C8*C7))*EXP(-(MOD((41/80*(60/C5)),(60/C5))-(60/C5*C9))/(C8*C7))*60)</f>
        <v/>
      </c>
      <c r="E70" s="28">
        <f>(IF(MOD((41/80*(60/C5)),(60/C5))&lt;(60/C5*C9),(C6+C4)*C7*(1-EXP(-MOD((41/80*(60/C5)),(60/C5))/(C8*C7))),((C6+C4)*C7*(1-EXP(-(60/C5*C9)/(C8*C7))))*EXP(-(MOD((41/80*(60/C5)),(60/C5))-(60/C5*C9))/(C8*C7))))*1000</f>
        <v/>
      </c>
      <c r="F70" s="27">
        <f>IF(AND(MOD((41/80*(60/C5)),(60/C5))&lt;(60/C5*C9),MOD((41/80*(60/C5)),(60/C5))&lt;C12),-ABS(C11)*SIN(PI()*MOD((41/80*(60/C5)),(60/C5))/C12),0)</f>
        <v/>
      </c>
      <c r="G70" s="27">
        <f>C6*(C10/(C7+C10))+(E70/1000)/C10+F70</f>
        <v/>
      </c>
      <c r="H70" s="27">
        <f>C70-G70</f>
        <v/>
      </c>
      <c r="I70" s="27">
        <f>C6+(E70/1000)/C7</f>
        <v/>
      </c>
    </row>
    <row r="71" ht="12.95" customHeight="1" s="44">
      <c r="B71" s="25">
        <f>(42/80*(60/C5))</f>
        <v/>
      </c>
      <c r="C71" s="25">
        <f>IF(MOD((42/80*(60/C5)),(60/C5))&lt;(60/C5*C9),C6+C4,C6)</f>
        <v/>
      </c>
      <c r="D71" s="25">
        <f>IF(MOD((42/80*(60/C5)),(60/C5))&lt;(60/C5*C9),((C6+C4)/C8)*EXP(-MOD((42/80*(60/C5)),(60/C5))/(C8*C7))*60,-(((C6+C4)*C7*(1-EXP(-(60/C5*C9)/(C8*C7))))/(C8*C7))*EXP(-(MOD((42/80*(60/C5)),(60/C5))-(60/C5*C9))/(C8*C7))*60)</f>
        <v/>
      </c>
      <c r="E71" s="26">
        <f>(IF(MOD((42/80*(60/C5)),(60/C5))&lt;(60/C5*C9),(C6+C4)*C7*(1-EXP(-MOD((42/80*(60/C5)),(60/C5))/(C8*C7))),((C6+C4)*C7*(1-EXP(-(60/C5*C9)/(C8*C7))))*EXP(-(MOD((42/80*(60/C5)),(60/C5))-(60/C5*C9))/(C8*C7))))*1000</f>
        <v/>
      </c>
      <c r="F71" s="25">
        <f>IF(AND(MOD((42/80*(60/C5)),(60/C5))&lt;(60/C5*C9),MOD((42/80*(60/C5)),(60/C5))&lt;C12),-ABS(C11)*SIN(PI()*MOD((42/80*(60/C5)),(60/C5))/C12),0)</f>
        <v/>
      </c>
      <c r="G71" s="25">
        <f>C6*(C10/(C7+C10))+(E71/1000)/C10+F71</f>
        <v/>
      </c>
      <c r="H71" s="25">
        <f>C71-G71</f>
        <v/>
      </c>
      <c r="I71" s="25">
        <f>C6+(E71/1000)/C7</f>
        <v/>
      </c>
    </row>
    <row r="72" ht="12.95" customHeight="1" s="44">
      <c r="B72" s="27">
        <f>(43/80*(60/C5))</f>
        <v/>
      </c>
      <c r="C72" s="27">
        <f>IF(MOD((43/80*(60/C5)),(60/C5))&lt;(60/C5*C9),C6+C4,C6)</f>
        <v/>
      </c>
      <c r="D72" s="27">
        <f>IF(MOD((43/80*(60/C5)),(60/C5))&lt;(60/C5*C9),((C6+C4)/C8)*EXP(-MOD((43/80*(60/C5)),(60/C5))/(C8*C7))*60,-(((C6+C4)*C7*(1-EXP(-(60/C5*C9)/(C8*C7))))/(C8*C7))*EXP(-(MOD((43/80*(60/C5)),(60/C5))-(60/C5*C9))/(C8*C7))*60)</f>
        <v/>
      </c>
      <c r="E72" s="28">
        <f>(IF(MOD((43/80*(60/C5)),(60/C5))&lt;(60/C5*C9),(C6+C4)*C7*(1-EXP(-MOD((43/80*(60/C5)),(60/C5))/(C8*C7))),((C6+C4)*C7*(1-EXP(-(60/C5*C9)/(C8*C7))))*EXP(-(MOD((43/80*(60/C5)),(60/C5))-(60/C5*C9))/(C8*C7))))*1000</f>
        <v/>
      </c>
      <c r="F72" s="27">
        <f>IF(AND(MOD((43/80*(60/C5)),(60/C5))&lt;(60/C5*C9),MOD((43/80*(60/C5)),(60/C5))&lt;C12),-ABS(C11)*SIN(PI()*MOD((43/80*(60/C5)),(60/C5))/C12),0)</f>
        <v/>
      </c>
      <c r="G72" s="27">
        <f>C6*(C10/(C7+C10))+(E72/1000)/C10+F72</f>
        <v/>
      </c>
      <c r="H72" s="27">
        <f>C72-G72</f>
        <v/>
      </c>
      <c r="I72" s="27">
        <f>C6+(E72/1000)/C7</f>
        <v/>
      </c>
    </row>
    <row r="73" ht="12.95" customHeight="1" s="44">
      <c r="B73" s="25">
        <f>(44/80*(60/C5))</f>
        <v/>
      </c>
      <c r="C73" s="25">
        <f>IF(MOD((44/80*(60/C5)),(60/C5))&lt;(60/C5*C9),C6+C4,C6)</f>
        <v/>
      </c>
      <c r="D73" s="25">
        <f>IF(MOD((44/80*(60/C5)),(60/C5))&lt;(60/C5*C9),((C6+C4)/C8)*EXP(-MOD((44/80*(60/C5)),(60/C5))/(C8*C7))*60,-(((C6+C4)*C7*(1-EXP(-(60/C5*C9)/(C8*C7))))/(C8*C7))*EXP(-(MOD((44/80*(60/C5)),(60/C5))-(60/C5*C9))/(C8*C7))*60)</f>
        <v/>
      </c>
      <c r="E73" s="26">
        <f>(IF(MOD((44/80*(60/C5)),(60/C5))&lt;(60/C5*C9),(C6+C4)*C7*(1-EXP(-MOD((44/80*(60/C5)),(60/C5))/(C8*C7))),((C6+C4)*C7*(1-EXP(-(60/C5*C9)/(C8*C7))))*EXP(-(MOD((44/80*(60/C5)),(60/C5))-(60/C5*C9))/(C8*C7))))*1000</f>
        <v/>
      </c>
      <c r="F73" s="25">
        <f>IF(AND(MOD((44/80*(60/C5)),(60/C5))&lt;(60/C5*C9),MOD((44/80*(60/C5)),(60/C5))&lt;C12),-ABS(C11)*SIN(PI()*MOD((44/80*(60/C5)),(60/C5))/C12),0)</f>
        <v/>
      </c>
      <c r="G73" s="25">
        <f>C6*(C10/(C7+C10))+(E73/1000)/C10+F73</f>
        <v/>
      </c>
      <c r="H73" s="25">
        <f>C73-G73</f>
        <v/>
      </c>
      <c r="I73" s="25">
        <f>C6+(E73/1000)/C7</f>
        <v/>
      </c>
    </row>
    <row r="74" ht="12.95" customHeight="1" s="44">
      <c r="B74" s="27">
        <f>(45/80*(60/C5))</f>
        <v/>
      </c>
      <c r="C74" s="27">
        <f>IF(MOD((45/80*(60/C5)),(60/C5))&lt;(60/C5*C9),C6+C4,C6)</f>
        <v/>
      </c>
      <c r="D74" s="27">
        <f>IF(MOD((45/80*(60/C5)),(60/C5))&lt;(60/C5*C9),((C6+C4)/C8)*EXP(-MOD((45/80*(60/C5)),(60/C5))/(C8*C7))*60,-(((C6+C4)*C7*(1-EXP(-(60/C5*C9)/(C8*C7))))/(C8*C7))*EXP(-(MOD((45/80*(60/C5)),(60/C5))-(60/C5*C9))/(C8*C7))*60)</f>
        <v/>
      </c>
      <c r="E74" s="28">
        <f>(IF(MOD((45/80*(60/C5)),(60/C5))&lt;(60/C5*C9),(C6+C4)*C7*(1-EXP(-MOD((45/80*(60/C5)),(60/C5))/(C8*C7))),((C6+C4)*C7*(1-EXP(-(60/C5*C9)/(C8*C7))))*EXP(-(MOD((45/80*(60/C5)),(60/C5))-(60/C5*C9))/(C8*C7))))*1000</f>
        <v/>
      </c>
      <c r="F74" s="27">
        <f>IF(AND(MOD((45/80*(60/C5)),(60/C5))&lt;(60/C5*C9),MOD((45/80*(60/C5)),(60/C5))&lt;C12),-ABS(C11)*SIN(PI()*MOD((45/80*(60/C5)),(60/C5))/C12),0)</f>
        <v/>
      </c>
      <c r="G74" s="27">
        <f>C6*(C10/(C7+C10))+(E74/1000)/C10+F74</f>
        <v/>
      </c>
      <c r="H74" s="27">
        <f>C74-G74</f>
        <v/>
      </c>
      <c r="I74" s="27">
        <f>C6+(E74/1000)/C7</f>
        <v/>
      </c>
    </row>
    <row r="75" ht="12.95" customHeight="1" s="44">
      <c r="B75" s="25">
        <f>(46/80*(60/C5))</f>
        <v/>
      </c>
      <c r="C75" s="25">
        <f>IF(MOD((46/80*(60/C5)),(60/C5))&lt;(60/C5*C9),C6+C4,C6)</f>
        <v/>
      </c>
      <c r="D75" s="25">
        <f>IF(MOD((46/80*(60/C5)),(60/C5))&lt;(60/C5*C9),((C6+C4)/C8)*EXP(-MOD((46/80*(60/C5)),(60/C5))/(C8*C7))*60,-(((C6+C4)*C7*(1-EXP(-(60/C5*C9)/(C8*C7))))/(C8*C7))*EXP(-(MOD((46/80*(60/C5)),(60/C5))-(60/C5*C9))/(C8*C7))*60)</f>
        <v/>
      </c>
      <c r="E75" s="26">
        <f>(IF(MOD((46/80*(60/C5)),(60/C5))&lt;(60/C5*C9),(C6+C4)*C7*(1-EXP(-MOD((46/80*(60/C5)),(60/C5))/(C8*C7))),((C6+C4)*C7*(1-EXP(-(60/C5*C9)/(C8*C7))))*EXP(-(MOD((46/80*(60/C5)),(60/C5))-(60/C5*C9))/(C8*C7))))*1000</f>
        <v/>
      </c>
      <c r="F75" s="25">
        <f>IF(AND(MOD((46/80*(60/C5)),(60/C5))&lt;(60/C5*C9),MOD((46/80*(60/C5)),(60/C5))&lt;C12),-ABS(C11)*SIN(PI()*MOD((46/80*(60/C5)),(60/C5))/C12),0)</f>
        <v/>
      </c>
      <c r="G75" s="25">
        <f>C6*(C10/(C7+C10))+(E75/1000)/C10+F75</f>
        <v/>
      </c>
      <c r="H75" s="25">
        <f>C75-G75</f>
        <v/>
      </c>
      <c r="I75" s="25">
        <f>C6+(E75/1000)/C7</f>
        <v/>
      </c>
    </row>
    <row r="76" ht="12.95" customHeight="1" s="44">
      <c r="B76" s="27">
        <f>(47/80*(60/C5))</f>
        <v/>
      </c>
      <c r="C76" s="27">
        <f>IF(MOD((47/80*(60/C5)),(60/C5))&lt;(60/C5*C9),C6+C4,C6)</f>
        <v/>
      </c>
      <c r="D76" s="27">
        <f>IF(MOD((47/80*(60/C5)),(60/C5))&lt;(60/C5*C9),((C6+C4)/C8)*EXP(-MOD((47/80*(60/C5)),(60/C5))/(C8*C7))*60,-(((C6+C4)*C7*(1-EXP(-(60/C5*C9)/(C8*C7))))/(C8*C7))*EXP(-(MOD((47/80*(60/C5)),(60/C5))-(60/C5*C9))/(C8*C7))*60)</f>
        <v/>
      </c>
      <c r="E76" s="28">
        <f>(IF(MOD((47/80*(60/C5)),(60/C5))&lt;(60/C5*C9),(C6+C4)*C7*(1-EXP(-MOD((47/80*(60/C5)),(60/C5))/(C8*C7))),((C6+C4)*C7*(1-EXP(-(60/C5*C9)/(C8*C7))))*EXP(-(MOD((47/80*(60/C5)),(60/C5))-(60/C5*C9))/(C8*C7))))*1000</f>
        <v/>
      </c>
      <c r="F76" s="27">
        <f>IF(AND(MOD((47/80*(60/C5)),(60/C5))&lt;(60/C5*C9),MOD((47/80*(60/C5)),(60/C5))&lt;C12),-ABS(C11)*SIN(PI()*MOD((47/80*(60/C5)),(60/C5))/C12),0)</f>
        <v/>
      </c>
      <c r="G76" s="27">
        <f>C6*(C10/(C7+C10))+(E76/1000)/C10+F76</f>
        <v/>
      </c>
      <c r="H76" s="27">
        <f>C76-G76</f>
        <v/>
      </c>
      <c r="I76" s="27">
        <f>C6+(E76/1000)/C7</f>
        <v/>
      </c>
    </row>
    <row r="77" ht="12.95" customHeight="1" s="44">
      <c r="B77" s="25">
        <f>(48/80*(60/C5))</f>
        <v/>
      </c>
      <c r="C77" s="25">
        <f>IF(MOD((48/80*(60/C5)),(60/C5))&lt;(60/C5*C9),C6+C4,C6)</f>
        <v/>
      </c>
      <c r="D77" s="25">
        <f>IF(MOD((48/80*(60/C5)),(60/C5))&lt;(60/C5*C9),((C6+C4)/C8)*EXP(-MOD((48/80*(60/C5)),(60/C5))/(C8*C7))*60,-(((C6+C4)*C7*(1-EXP(-(60/C5*C9)/(C8*C7))))/(C8*C7))*EXP(-(MOD((48/80*(60/C5)),(60/C5))-(60/C5*C9))/(C8*C7))*60)</f>
        <v/>
      </c>
      <c r="E77" s="26">
        <f>(IF(MOD((48/80*(60/C5)),(60/C5))&lt;(60/C5*C9),(C6+C4)*C7*(1-EXP(-MOD((48/80*(60/C5)),(60/C5))/(C8*C7))),((C6+C4)*C7*(1-EXP(-(60/C5*C9)/(C8*C7))))*EXP(-(MOD((48/80*(60/C5)),(60/C5))-(60/C5*C9))/(C8*C7))))*1000</f>
        <v/>
      </c>
      <c r="F77" s="25">
        <f>IF(AND(MOD((48/80*(60/C5)),(60/C5))&lt;(60/C5*C9),MOD((48/80*(60/C5)),(60/C5))&lt;C12),-ABS(C11)*SIN(PI()*MOD((48/80*(60/C5)),(60/C5))/C12),0)</f>
        <v/>
      </c>
      <c r="G77" s="25">
        <f>C6*(C10/(C7+C10))+(E77/1000)/C10+F77</f>
        <v/>
      </c>
      <c r="H77" s="25">
        <f>C77-G77</f>
        <v/>
      </c>
      <c r="I77" s="25">
        <f>C6+(E77/1000)/C7</f>
        <v/>
      </c>
    </row>
    <row r="78" ht="12.95" customHeight="1" s="44">
      <c r="B78" s="27">
        <f>(49/80*(60/C5))</f>
        <v/>
      </c>
      <c r="C78" s="27">
        <f>IF(MOD((49/80*(60/C5)),(60/C5))&lt;(60/C5*C9),C6+C4,C6)</f>
        <v/>
      </c>
      <c r="D78" s="27">
        <f>IF(MOD((49/80*(60/C5)),(60/C5))&lt;(60/C5*C9),((C6+C4)/C8)*EXP(-MOD((49/80*(60/C5)),(60/C5))/(C8*C7))*60,-(((C6+C4)*C7*(1-EXP(-(60/C5*C9)/(C8*C7))))/(C8*C7))*EXP(-(MOD((49/80*(60/C5)),(60/C5))-(60/C5*C9))/(C8*C7))*60)</f>
        <v/>
      </c>
      <c r="E78" s="28">
        <f>(IF(MOD((49/80*(60/C5)),(60/C5))&lt;(60/C5*C9),(C6+C4)*C7*(1-EXP(-MOD((49/80*(60/C5)),(60/C5))/(C8*C7))),((C6+C4)*C7*(1-EXP(-(60/C5*C9)/(C8*C7))))*EXP(-(MOD((49/80*(60/C5)),(60/C5))-(60/C5*C9))/(C8*C7))))*1000</f>
        <v/>
      </c>
      <c r="F78" s="27">
        <f>IF(AND(MOD((49/80*(60/C5)),(60/C5))&lt;(60/C5*C9),MOD((49/80*(60/C5)),(60/C5))&lt;C12),-ABS(C11)*SIN(PI()*MOD((49/80*(60/C5)),(60/C5))/C12),0)</f>
        <v/>
      </c>
      <c r="G78" s="27">
        <f>C6*(C10/(C7+C10))+(E78/1000)/C10+F78</f>
        <v/>
      </c>
      <c r="H78" s="27">
        <f>C78-G78</f>
        <v/>
      </c>
      <c r="I78" s="27">
        <f>C6+(E78/1000)/C7</f>
        <v/>
      </c>
    </row>
    <row r="79" ht="12.95" customHeight="1" s="44">
      <c r="B79" s="25">
        <f>(50/80*(60/C5))</f>
        <v/>
      </c>
      <c r="C79" s="25">
        <f>IF(MOD((50/80*(60/C5)),(60/C5))&lt;(60/C5*C9),C6+C4,C6)</f>
        <v/>
      </c>
      <c r="D79" s="25">
        <f>IF(MOD((50/80*(60/C5)),(60/C5))&lt;(60/C5*C9),((C6+C4)/C8)*EXP(-MOD((50/80*(60/C5)),(60/C5))/(C8*C7))*60,-(((C6+C4)*C7*(1-EXP(-(60/C5*C9)/(C8*C7))))/(C8*C7))*EXP(-(MOD((50/80*(60/C5)),(60/C5))-(60/C5*C9))/(C8*C7))*60)</f>
        <v/>
      </c>
      <c r="E79" s="26">
        <f>(IF(MOD((50/80*(60/C5)),(60/C5))&lt;(60/C5*C9),(C6+C4)*C7*(1-EXP(-MOD((50/80*(60/C5)),(60/C5))/(C8*C7))),((C6+C4)*C7*(1-EXP(-(60/C5*C9)/(C8*C7))))*EXP(-(MOD((50/80*(60/C5)),(60/C5))-(60/C5*C9))/(C8*C7))))*1000</f>
        <v/>
      </c>
      <c r="F79" s="25">
        <f>IF(AND(MOD((50/80*(60/C5)),(60/C5))&lt;(60/C5*C9),MOD((50/80*(60/C5)),(60/C5))&lt;C12),-ABS(C11)*SIN(PI()*MOD((50/80*(60/C5)),(60/C5))/C12),0)</f>
        <v/>
      </c>
      <c r="G79" s="25">
        <f>C6*(C10/(C7+C10))+(E79/1000)/C10+F79</f>
        <v/>
      </c>
      <c r="H79" s="25">
        <f>C79-G79</f>
        <v/>
      </c>
      <c r="I79" s="25">
        <f>C6+(E79/1000)/C7</f>
        <v/>
      </c>
    </row>
    <row r="80" ht="12.95" customHeight="1" s="44">
      <c r="B80" s="27">
        <f>(51/80*(60/C5))</f>
        <v/>
      </c>
      <c r="C80" s="27">
        <f>IF(MOD((51/80*(60/C5)),(60/C5))&lt;(60/C5*C9),C6+C4,C6)</f>
        <v/>
      </c>
      <c r="D80" s="27">
        <f>IF(MOD((51/80*(60/C5)),(60/C5))&lt;(60/C5*C9),((C6+C4)/C8)*EXP(-MOD((51/80*(60/C5)),(60/C5))/(C8*C7))*60,-(((C6+C4)*C7*(1-EXP(-(60/C5*C9)/(C8*C7))))/(C8*C7))*EXP(-(MOD((51/80*(60/C5)),(60/C5))-(60/C5*C9))/(C8*C7))*60)</f>
        <v/>
      </c>
      <c r="E80" s="28">
        <f>(IF(MOD((51/80*(60/C5)),(60/C5))&lt;(60/C5*C9),(C6+C4)*C7*(1-EXP(-MOD((51/80*(60/C5)),(60/C5))/(C8*C7))),((C6+C4)*C7*(1-EXP(-(60/C5*C9)/(C8*C7))))*EXP(-(MOD((51/80*(60/C5)),(60/C5))-(60/C5*C9))/(C8*C7))))*1000</f>
        <v/>
      </c>
      <c r="F80" s="27">
        <f>IF(AND(MOD((51/80*(60/C5)),(60/C5))&lt;(60/C5*C9),MOD((51/80*(60/C5)),(60/C5))&lt;C12),-ABS(C11)*SIN(PI()*MOD((51/80*(60/C5)),(60/C5))/C12),0)</f>
        <v/>
      </c>
      <c r="G80" s="27">
        <f>C6*(C10/(C7+C10))+(E80/1000)/C10+F80</f>
        <v/>
      </c>
      <c r="H80" s="27">
        <f>C80-G80</f>
        <v/>
      </c>
      <c r="I80" s="27">
        <f>C6+(E80/1000)/C7</f>
        <v/>
      </c>
    </row>
    <row r="81" ht="12.95" customHeight="1" s="44">
      <c r="B81" s="25">
        <f>(52/80*(60/C5))</f>
        <v/>
      </c>
      <c r="C81" s="25">
        <f>IF(MOD((52/80*(60/C5)),(60/C5))&lt;(60/C5*C9),C6+C4,C6)</f>
        <v/>
      </c>
      <c r="D81" s="25">
        <f>IF(MOD((52/80*(60/C5)),(60/C5))&lt;(60/C5*C9),((C6+C4)/C8)*EXP(-MOD((52/80*(60/C5)),(60/C5))/(C8*C7))*60,-(((C6+C4)*C7*(1-EXP(-(60/C5*C9)/(C8*C7))))/(C8*C7))*EXP(-(MOD((52/80*(60/C5)),(60/C5))-(60/C5*C9))/(C8*C7))*60)</f>
        <v/>
      </c>
      <c r="E81" s="26">
        <f>(IF(MOD((52/80*(60/C5)),(60/C5))&lt;(60/C5*C9),(C6+C4)*C7*(1-EXP(-MOD((52/80*(60/C5)),(60/C5))/(C8*C7))),((C6+C4)*C7*(1-EXP(-(60/C5*C9)/(C8*C7))))*EXP(-(MOD((52/80*(60/C5)),(60/C5))-(60/C5*C9))/(C8*C7))))*1000</f>
        <v/>
      </c>
      <c r="F81" s="25">
        <f>IF(AND(MOD((52/80*(60/C5)),(60/C5))&lt;(60/C5*C9),MOD((52/80*(60/C5)),(60/C5))&lt;C12),-ABS(C11)*SIN(PI()*MOD((52/80*(60/C5)),(60/C5))/C12),0)</f>
        <v/>
      </c>
      <c r="G81" s="25">
        <f>C6*(C10/(C7+C10))+(E81/1000)/C10+F81</f>
        <v/>
      </c>
      <c r="H81" s="25">
        <f>C81-G81</f>
        <v/>
      </c>
      <c r="I81" s="25">
        <f>C6+(E81/1000)/C7</f>
        <v/>
      </c>
    </row>
    <row r="82" ht="12.95" customHeight="1" s="44">
      <c r="B82" s="27">
        <f>(53/80*(60/C5))</f>
        <v/>
      </c>
      <c r="C82" s="27">
        <f>IF(MOD((53/80*(60/C5)),(60/C5))&lt;(60/C5*C9),C6+C4,C6)</f>
        <v/>
      </c>
      <c r="D82" s="27">
        <f>IF(MOD((53/80*(60/C5)),(60/C5))&lt;(60/C5*C9),((C6+C4)/C8)*EXP(-MOD((53/80*(60/C5)),(60/C5))/(C8*C7))*60,-(((C6+C4)*C7*(1-EXP(-(60/C5*C9)/(C8*C7))))/(C8*C7))*EXP(-(MOD((53/80*(60/C5)),(60/C5))-(60/C5*C9))/(C8*C7))*60)</f>
        <v/>
      </c>
      <c r="E82" s="28">
        <f>(IF(MOD((53/80*(60/C5)),(60/C5))&lt;(60/C5*C9),(C6+C4)*C7*(1-EXP(-MOD((53/80*(60/C5)),(60/C5))/(C8*C7))),((C6+C4)*C7*(1-EXP(-(60/C5*C9)/(C8*C7))))*EXP(-(MOD((53/80*(60/C5)),(60/C5))-(60/C5*C9))/(C8*C7))))*1000</f>
        <v/>
      </c>
      <c r="F82" s="27">
        <f>IF(AND(MOD((53/80*(60/C5)),(60/C5))&lt;(60/C5*C9),MOD((53/80*(60/C5)),(60/C5))&lt;C12),-ABS(C11)*SIN(PI()*MOD((53/80*(60/C5)),(60/C5))/C12),0)</f>
        <v/>
      </c>
      <c r="G82" s="27">
        <f>C6*(C10/(C7+C10))+(E82/1000)/C10+F82</f>
        <v/>
      </c>
      <c r="H82" s="27">
        <f>C82-G82</f>
        <v/>
      </c>
      <c r="I82" s="27">
        <f>C6+(E82/1000)/C7</f>
        <v/>
      </c>
    </row>
    <row r="83" ht="12.95" customHeight="1" s="44">
      <c r="B83" s="25">
        <f>(54/80*(60/C5))</f>
        <v/>
      </c>
      <c r="C83" s="25">
        <f>IF(MOD((54/80*(60/C5)),(60/C5))&lt;(60/C5*C9),C6+C4,C6)</f>
        <v/>
      </c>
      <c r="D83" s="25">
        <f>IF(MOD((54/80*(60/C5)),(60/C5))&lt;(60/C5*C9),((C6+C4)/C8)*EXP(-MOD((54/80*(60/C5)),(60/C5))/(C8*C7))*60,-(((C6+C4)*C7*(1-EXP(-(60/C5*C9)/(C8*C7))))/(C8*C7))*EXP(-(MOD((54/80*(60/C5)),(60/C5))-(60/C5*C9))/(C8*C7))*60)</f>
        <v/>
      </c>
      <c r="E83" s="26">
        <f>(IF(MOD((54/80*(60/C5)),(60/C5))&lt;(60/C5*C9),(C6+C4)*C7*(1-EXP(-MOD((54/80*(60/C5)),(60/C5))/(C8*C7))),((C6+C4)*C7*(1-EXP(-(60/C5*C9)/(C8*C7))))*EXP(-(MOD((54/80*(60/C5)),(60/C5))-(60/C5*C9))/(C8*C7))))*1000</f>
        <v/>
      </c>
      <c r="F83" s="25">
        <f>IF(AND(MOD((54/80*(60/C5)),(60/C5))&lt;(60/C5*C9),MOD((54/80*(60/C5)),(60/C5))&lt;C12),-ABS(C11)*SIN(PI()*MOD((54/80*(60/C5)),(60/C5))/C12),0)</f>
        <v/>
      </c>
      <c r="G83" s="25">
        <f>C6*(C10/(C7+C10))+(E83/1000)/C10+F83</f>
        <v/>
      </c>
      <c r="H83" s="25">
        <f>C83-G83</f>
        <v/>
      </c>
      <c r="I83" s="25">
        <f>C6+(E83/1000)/C7</f>
        <v/>
      </c>
    </row>
    <row r="84" ht="12.95" customHeight="1" s="44">
      <c r="B84" s="27">
        <f>(55/80*(60/C5))</f>
        <v/>
      </c>
      <c r="C84" s="27">
        <f>IF(MOD((55/80*(60/C5)),(60/C5))&lt;(60/C5*C9),C6+C4,C6)</f>
        <v/>
      </c>
      <c r="D84" s="27">
        <f>IF(MOD((55/80*(60/C5)),(60/C5))&lt;(60/C5*C9),((C6+C4)/C8)*EXP(-MOD((55/80*(60/C5)),(60/C5))/(C8*C7))*60,-(((C6+C4)*C7*(1-EXP(-(60/C5*C9)/(C8*C7))))/(C8*C7))*EXP(-(MOD((55/80*(60/C5)),(60/C5))-(60/C5*C9))/(C8*C7))*60)</f>
        <v/>
      </c>
      <c r="E84" s="28">
        <f>(IF(MOD((55/80*(60/C5)),(60/C5))&lt;(60/C5*C9),(C6+C4)*C7*(1-EXP(-MOD((55/80*(60/C5)),(60/C5))/(C8*C7))),((C6+C4)*C7*(1-EXP(-(60/C5*C9)/(C8*C7))))*EXP(-(MOD((55/80*(60/C5)),(60/C5))-(60/C5*C9))/(C8*C7))))*1000</f>
        <v/>
      </c>
      <c r="F84" s="27">
        <f>IF(AND(MOD((55/80*(60/C5)),(60/C5))&lt;(60/C5*C9),MOD((55/80*(60/C5)),(60/C5))&lt;C12),-ABS(C11)*SIN(PI()*MOD((55/80*(60/C5)),(60/C5))/C12),0)</f>
        <v/>
      </c>
      <c r="G84" s="27">
        <f>C6*(C10/(C7+C10))+(E84/1000)/C10+F84</f>
        <v/>
      </c>
      <c r="H84" s="27">
        <f>C84-G84</f>
        <v/>
      </c>
      <c r="I84" s="27">
        <f>C6+(E84/1000)/C7</f>
        <v/>
      </c>
    </row>
    <row r="85" ht="12.95" customHeight="1" s="44">
      <c r="B85" s="25">
        <f>(56/80*(60/C5))</f>
        <v/>
      </c>
      <c r="C85" s="25">
        <f>IF(MOD((56/80*(60/C5)),(60/C5))&lt;(60/C5*C9),C6+C4,C6)</f>
        <v/>
      </c>
      <c r="D85" s="25">
        <f>IF(MOD((56/80*(60/C5)),(60/C5))&lt;(60/C5*C9),((C6+C4)/C8)*EXP(-MOD((56/80*(60/C5)),(60/C5))/(C8*C7))*60,-(((C6+C4)*C7*(1-EXP(-(60/C5*C9)/(C8*C7))))/(C8*C7))*EXP(-(MOD((56/80*(60/C5)),(60/C5))-(60/C5*C9))/(C8*C7))*60)</f>
        <v/>
      </c>
      <c r="E85" s="26">
        <f>(IF(MOD((56/80*(60/C5)),(60/C5))&lt;(60/C5*C9),(C6+C4)*C7*(1-EXP(-MOD((56/80*(60/C5)),(60/C5))/(C8*C7))),((C6+C4)*C7*(1-EXP(-(60/C5*C9)/(C8*C7))))*EXP(-(MOD((56/80*(60/C5)),(60/C5))-(60/C5*C9))/(C8*C7))))*1000</f>
        <v/>
      </c>
      <c r="F85" s="25">
        <f>IF(AND(MOD((56/80*(60/C5)),(60/C5))&lt;(60/C5*C9),MOD((56/80*(60/C5)),(60/C5))&lt;C12),-ABS(C11)*SIN(PI()*MOD((56/80*(60/C5)),(60/C5))/C12),0)</f>
        <v/>
      </c>
      <c r="G85" s="25">
        <f>C6*(C10/(C7+C10))+(E85/1000)/C10+F85</f>
        <v/>
      </c>
      <c r="H85" s="25">
        <f>C85-G85</f>
        <v/>
      </c>
      <c r="I85" s="25">
        <f>C6+(E85/1000)/C7</f>
        <v/>
      </c>
    </row>
    <row r="86" ht="12.95" customHeight="1" s="44">
      <c r="B86" s="27">
        <f>(57/80*(60/C5))</f>
        <v/>
      </c>
      <c r="C86" s="27">
        <f>IF(MOD((57/80*(60/C5)),(60/C5))&lt;(60/C5*C9),C6+C4,C6)</f>
        <v/>
      </c>
      <c r="D86" s="27">
        <f>IF(MOD((57/80*(60/C5)),(60/C5))&lt;(60/C5*C9),((C6+C4)/C8)*EXP(-MOD((57/80*(60/C5)),(60/C5))/(C8*C7))*60,-(((C6+C4)*C7*(1-EXP(-(60/C5*C9)/(C8*C7))))/(C8*C7))*EXP(-(MOD((57/80*(60/C5)),(60/C5))-(60/C5*C9))/(C8*C7))*60)</f>
        <v/>
      </c>
      <c r="E86" s="28">
        <f>(IF(MOD((57/80*(60/C5)),(60/C5))&lt;(60/C5*C9),(C6+C4)*C7*(1-EXP(-MOD((57/80*(60/C5)),(60/C5))/(C8*C7))),((C6+C4)*C7*(1-EXP(-(60/C5*C9)/(C8*C7))))*EXP(-(MOD((57/80*(60/C5)),(60/C5))-(60/C5*C9))/(C8*C7))))*1000</f>
        <v/>
      </c>
      <c r="F86" s="27">
        <f>IF(AND(MOD((57/80*(60/C5)),(60/C5))&lt;(60/C5*C9),MOD((57/80*(60/C5)),(60/C5))&lt;C12),-ABS(C11)*SIN(PI()*MOD((57/80*(60/C5)),(60/C5))/C12),0)</f>
        <v/>
      </c>
      <c r="G86" s="27">
        <f>C6*(C10/(C7+C10))+(E86/1000)/C10+F86</f>
        <v/>
      </c>
      <c r="H86" s="27">
        <f>C86-G86</f>
        <v/>
      </c>
      <c r="I86" s="27">
        <f>C6+(E86/1000)/C7</f>
        <v/>
      </c>
    </row>
    <row r="87" ht="12.95" customHeight="1" s="44">
      <c r="B87" s="25">
        <f>(58/80*(60/C5))</f>
        <v/>
      </c>
      <c r="C87" s="25">
        <f>IF(MOD((58/80*(60/C5)),(60/C5))&lt;(60/C5*C9),C6+C4,C6)</f>
        <v/>
      </c>
      <c r="D87" s="25">
        <f>IF(MOD((58/80*(60/C5)),(60/C5))&lt;(60/C5*C9),((C6+C4)/C8)*EXP(-MOD((58/80*(60/C5)),(60/C5))/(C8*C7))*60,-(((C6+C4)*C7*(1-EXP(-(60/C5*C9)/(C8*C7))))/(C8*C7))*EXP(-(MOD((58/80*(60/C5)),(60/C5))-(60/C5*C9))/(C8*C7))*60)</f>
        <v/>
      </c>
      <c r="E87" s="26">
        <f>(IF(MOD((58/80*(60/C5)),(60/C5))&lt;(60/C5*C9),(C6+C4)*C7*(1-EXP(-MOD((58/80*(60/C5)),(60/C5))/(C8*C7))),((C6+C4)*C7*(1-EXP(-(60/C5*C9)/(C8*C7))))*EXP(-(MOD((58/80*(60/C5)),(60/C5))-(60/C5*C9))/(C8*C7))))*1000</f>
        <v/>
      </c>
      <c r="F87" s="25">
        <f>IF(AND(MOD((58/80*(60/C5)),(60/C5))&lt;(60/C5*C9),MOD((58/80*(60/C5)),(60/C5))&lt;C12),-ABS(C11)*SIN(PI()*MOD((58/80*(60/C5)),(60/C5))/C12),0)</f>
        <v/>
      </c>
      <c r="G87" s="25">
        <f>C6*(C10/(C7+C10))+(E87/1000)/C10+F87</f>
        <v/>
      </c>
      <c r="H87" s="25">
        <f>C87-G87</f>
        <v/>
      </c>
      <c r="I87" s="25">
        <f>C6+(E87/1000)/C7</f>
        <v/>
      </c>
    </row>
    <row r="88" ht="12.95" customHeight="1" s="44">
      <c r="B88" s="27">
        <f>(59/80*(60/C5))</f>
        <v/>
      </c>
      <c r="C88" s="27">
        <f>IF(MOD((59/80*(60/C5)),(60/C5))&lt;(60/C5*C9),C6+C4,C6)</f>
        <v/>
      </c>
      <c r="D88" s="27">
        <f>IF(MOD((59/80*(60/C5)),(60/C5))&lt;(60/C5*C9),((C6+C4)/C8)*EXP(-MOD((59/80*(60/C5)),(60/C5))/(C8*C7))*60,-(((C6+C4)*C7*(1-EXP(-(60/C5*C9)/(C8*C7))))/(C8*C7))*EXP(-(MOD((59/80*(60/C5)),(60/C5))-(60/C5*C9))/(C8*C7))*60)</f>
        <v/>
      </c>
      <c r="E88" s="28">
        <f>(IF(MOD((59/80*(60/C5)),(60/C5))&lt;(60/C5*C9),(C6+C4)*C7*(1-EXP(-MOD((59/80*(60/C5)),(60/C5))/(C8*C7))),((C6+C4)*C7*(1-EXP(-(60/C5*C9)/(C8*C7))))*EXP(-(MOD((59/80*(60/C5)),(60/C5))-(60/C5*C9))/(C8*C7))))*1000</f>
        <v/>
      </c>
      <c r="F88" s="27">
        <f>IF(AND(MOD((59/80*(60/C5)),(60/C5))&lt;(60/C5*C9),MOD((59/80*(60/C5)),(60/C5))&lt;C12),-ABS(C11)*SIN(PI()*MOD((59/80*(60/C5)),(60/C5))/C12),0)</f>
        <v/>
      </c>
      <c r="G88" s="27">
        <f>C6*(C10/(C7+C10))+(E88/1000)/C10+F88</f>
        <v/>
      </c>
      <c r="H88" s="27">
        <f>C88-G88</f>
        <v/>
      </c>
      <c r="I88" s="27">
        <f>C6+(E88/1000)/C7</f>
        <v/>
      </c>
    </row>
    <row r="89" ht="12.95" customHeight="1" s="44">
      <c r="B89" s="25">
        <f>(60/80*(60/C5))</f>
        <v/>
      </c>
      <c r="C89" s="25">
        <f>IF(MOD((60/80*(60/C5)),(60/C5))&lt;(60/C5*C9),C6+C4,C6)</f>
        <v/>
      </c>
      <c r="D89" s="25">
        <f>IF(MOD((60/80*(60/C5)),(60/C5))&lt;(60/C5*C9),((C6+C4)/C8)*EXP(-MOD((60/80*(60/C5)),(60/C5))/(C8*C7))*60,-(((C6+C4)*C7*(1-EXP(-(60/C5*C9)/(C8*C7))))/(C8*C7))*EXP(-(MOD((60/80*(60/C5)),(60/C5))-(60/C5*C9))/(C8*C7))*60)</f>
        <v/>
      </c>
      <c r="E89" s="26">
        <f>(IF(MOD((60/80*(60/C5)),(60/C5))&lt;(60/C5*C9),(C6+C4)*C7*(1-EXP(-MOD((60/80*(60/C5)),(60/C5))/(C8*C7))),((C6+C4)*C7*(1-EXP(-(60/C5*C9)/(C8*C7))))*EXP(-(MOD((60/80*(60/C5)),(60/C5))-(60/C5*C9))/(C8*C7))))*1000</f>
        <v/>
      </c>
      <c r="F89" s="25">
        <f>IF(AND(MOD((60/80*(60/C5)),(60/C5))&lt;(60/C5*C9),MOD((60/80*(60/C5)),(60/C5))&lt;C12),-ABS(C11)*SIN(PI()*MOD((60/80*(60/C5)),(60/C5))/C12),0)</f>
        <v/>
      </c>
      <c r="G89" s="25">
        <f>C6*(C10/(C7+C10))+(E89/1000)/C10+F89</f>
        <v/>
      </c>
      <c r="H89" s="25">
        <f>C89-G89</f>
        <v/>
      </c>
      <c r="I89" s="25">
        <f>C6+(E89/1000)/C7</f>
        <v/>
      </c>
    </row>
    <row r="90" ht="12.95" customHeight="1" s="44">
      <c r="B90" s="27">
        <f>(61/80*(60/C5))</f>
        <v/>
      </c>
      <c r="C90" s="27">
        <f>IF(MOD((61/80*(60/C5)),(60/C5))&lt;(60/C5*C9),C6+C4,C6)</f>
        <v/>
      </c>
      <c r="D90" s="27">
        <f>IF(MOD((61/80*(60/C5)),(60/C5))&lt;(60/C5*C9),((C6+C4)/C8)*EXP(-MOD((61/80*(60/C5)),(60/C5))/(C8*C7))*60,-(((C6+C4)*C7*(1-EXP(-(60/C5*C9)/(C8*C7))))/(C8*C7))*EXP(-(MOD((61/80*(60/C5)),(60/C5))-(60/C5*C9))/(C8*C7))*60)</f>
        <v/>
      </c>
      <c r="E90" s="28">
        <f>(IF(MOD((61/80*(60/C5)),(60/C5))&lt;(60/C5*C9),(C6+C4)*C7*(1-EXP(-MOD((61/80*(60/C5)),(60/C5))/(C8*C7))),((C6+C4)*C7*(1-EXP(-(60/C5*C9)/(C8*C7))))*EXP(-(MOD((61/80*(60/C5)),(60/C5))-(60/C5*C9))/(C8*C7))))*1000</f>
        <v/>
      </c>
      <c r="F90" s="27">
        <f>IF(AND(MOD((61/80*(60/C5)),(60/C5))&lt;(60/C5*C9),MOD((61/80*(60/C5)),(60/C5))&lt;C12),-ABS(C11)*SIN(PI()*MOD((61/80*(60/C5)),(60/C5))/C12),0)</f>
        <v/>
      </c>
      <c r="G90" s="27">
        <f>C6*(C10/(C7+C10))+(E90/1000)/C10+F90</f>
        <v/>
      </c>
      <c r="H90" s="27">
        <f>C90-G90</f>
        <v/>
      </c>
      <c r="I90" s="27">
        <f>C6+(E90/1000)/C7</f>
        <v/>
      </c>
    </row>
    <row r="91" ht="12.95" customHeight="1" s="44">
      <c r="B91" s="25">
        <f>(62/80*(60/C5))</f>
        <v/>
      </c>
      <c r="C91" s="25">
        <f>IF(MOD((62/80*(60/C5)),(60/C5))&lt;(60/C5*C9),C6+C4,C6)</f>
        <v/>
      </c>
      <c r="D91" s="25">
        <f>IF(MOD((62/80*(60/C5)),(60/C5))&lt;(60/C5*C9),((C6+C4)/C8)*EXP(-MOD((62/80*(60/C5)),(60/C5))/(C8*C7))*60,-(((C6+C4)*C7*(1-EXP(-(60/C5*C9)/(C8*C7))))/(C8*C7))*EXP(-(MOD((62/80*(60/C5)),(60/C5))-(60/C5*C9))/(C8*C7))*60)</f>
        <v/>
      </c>
      <c r="E91" s="26">
        <f>(IF(MOD((62/80*(60/C5)),(60/C5))&lt;(60/C5*C9),(C6+C4)*C7*(1-EXP(-MOD((62/80*(60/C5)),(60/C5))/(C8*C7))),((C6+C4)*C7*(1-EXP(-(60/C5*C9)/(C8*C7))))*EXP(-(MOD((62/80*(60/C5)),(60/C5))-(60/C5*C9))/(C8*C7))))*1000</f>
        <v/>
      </c>
      <c r="F91" s="25">
        <f>IF(AND(MOD((62/80*(60/C5)),(60/C5))&lt;(60/C5*C9),MOD((62/80*(60/C5)),(60/C5))&lt;C12),-ABS(C11)*SIN(PI()*MOD((62/80*(60/C5)),(60/C5))/C12),0)</f>
        <v/>
      </c>
      <c r="G91" s="25">
        <f>C6*(C10/(C7+C10))+(E91/1000)/C10+F91</f>
        <v/>
      </c>
      <c r="H91" s="25">
        <f>C91-G91</f>
        <v/>
      </c>
      <c r="I91" s="25">
        <f>C6+(E91/1000)/C7</f>
        <v/>
      </c>
    </row>
    <row r="92" ht="12.95" customHeight="1" s="44">
      <c r="B92" s="27">
        <f>(63/80*(60/C5))</f>
        <v/>
      </c>
      <c r="C92" s="27">
        <f>IF(MOD((63/80*(60/C5)),(60/C5))&lt;(60/C5*C9),C6+C4,C6)</f>
        <v/>
      </c>
      <c r="D92" s="27">
        <f>IF(MOD((63/80*(60/C5)),(60/C5))&lt;(60/C5*C9),((C6+C4)/C8)*EXP(-MOD((63/80*(60/C5)),(60/C5))/(C8*C7))*60,-(((C6+C4)*C7*(1-EXP(-(60/C5*C9)/(C8*C7))))/(C8*C7))*EXP(-(MOD((63/80*(60/C5)),(60/C5))-(60/C5*C9))/(C8*C7))*60)</f>
        <v/>
      </c>
      <c r="E92" s="28">
        <f>(IF(MOD((63/80*(60/C5)),(60/C5))&lt;(60/C5*C9),(C6+C4)*C7*(1-EXP(-MOD((63/80*(60/C5)),(60/C5))/(C8*C7))),((C6+C4)*C7*(1-EXP(-(60/C5*C9)/(C8*C7))))*EXP(-(MOD((63/80*(60/C5)),(60/C5))-(60/C5*C9))/(C8*C7))))*1000</f>
        <v/>
      </c>
      <c r="F92" s="27">
        <f>IF(AND(MOD((63/80*(60/C5)),(60/C5))&lt;(60/C5*C9),MOD((63/80*(60/C5)),(60/C5))&lt;C12),-ABS(C11)*SIN(PI()*MOD((63/80*(60/C5)),(60/C5))/C12),0)</f>
        <v/>
      </c>
      <c r="G92" s="27">
        <f>C6*(C10/(C7+C10))+(E92/1000)/C10+F92</f>
        <v/>
      </c>
      <c r="H92" s="27">
        <f>C92-G92</f>
        <v/>
      </c>
      <c r="I92" s="27">
        <f>C6+(E92/1000)/C7</f>
        <v/>
      </c>
    </row>
    <row r="93" ht="12.95" customHeight="1" s="44">
      <c r="B93" s="25">
        <f>(64/80*(60/C5))</f>
        <v/>
      </c>
      <c r="C93" s="25">
        <f>IF(MOD((64/80*(60/C5)),(60/C5))&lt;(60/C5*C9),C6+C4,C6)</f>
        <v/>
      </c>
      <c r="D93" s="25">
        <f>IF(MOD((64/80*(60/C5)),(60/C5))&lt;(60/C5*C9),((C6+C4)/C8)*EXP(-MOD((64/80*(60/C5)),(60/C5))/(C8*C7))*60,-(((C6+C4)*C7*(1-EXP(-(60/C5*C9)/(C8*C7))))/(C8*C7))*EXP(-(MOD((64/80*(60/C5)),(60/C5))-(60/C5*C9))/(C8*C7))*60)</f>
        <v/>
      </c>
      <c r="E93" s="26">
        <f>(IF(MOD((64/80*(60/C5)),(60/C5))&lt;(60/C5*C9),(C6+C4)*C7*(1-EXP(-MOD((64/80*(60/C5)),(60/C5))/(C8*C7))),((C6+C4)*C7*(1-EXP(-(60/C5*C9)/(C8*C7))))*EXP(-(MOD((64/80*(60/C5)),(60/C5))-(60/C5*C9))/(C8*C7))))*1000</f>
        <v/>
      </c>
      <c r="F93" s="25">
        <f>IF(AND(MOD((64/80*(60/C5)),(60/C5))&lt;(60/C5*C9),MOD((64/80*(60/C5)),(60/C5))&lt;C12),-ABS(C11)*SIN(PI()*MOD((64/80*(60/C5)),(60/C5))/C12),0)</f>
        <v/>
      </c>
      <c r="G93" s="25">
        <f>C6*(C10/(C7+C10))+(E93/1000)/C10+F93</f>
        <v/>
      </c>
      <c r="H93" s="25">
        <f>C93-G93</f>
        <v/>
      </c>
      <c r="I93" s="25">
        <f>C6+(E93/1000)/C7</f>
        <v/>
      </c>
    </row>
    <row r="94" ht="12.95" customHeight="1" s="44">
      <c r="B94" s="27">
        <f>(65/80*(60/C5))</f>
        <v/>
      </c>
      <c r="C94" s="27">
        <f>IF(MOD((65/80*(60/C5)),(60/C5))&lt;(60/C5*C9),C6+C4,C6)</f>
        <v/>
      </c>
      <c r="D94" s="27">
        <f>IF(MOD((65/80*(60/C5)),(60/C5))&lt;(60/C5*C9),((C6+C4)/C8)*EXP(-MOD((65/80*(60/C5)),(60/C5))/(C8*C7))*60,-(((C6+C4)*C7*(1-EXP(-(60/C5*C9)/(C8*C7))))/(C8*C7))*EXP(-(MOD((65/80*(60/C5)),(60/C5))-(60/C5*C9))/(C8*C7))*60)</f>
        <v/>
      </c>
      <c r="E94" s="28">
        <f>(IF(MOD((65/80*(60/C5)),(60/C5))&lt;(60/C5*C9),(C6+C4)*C7*(1-EXP(-MOD((65/80*(60/C5)),(60/C5))/(C8*C7))),((C6+C4)*C7*(1-EXP(-(60/C5*C9)/(C8*C7))))*EXP(-(MOD((65/80*(60/C5)),(60/C5))-(60/C5*C9))/(C8*C7))))*1000</f>
        <v/>
      </c>
      <c r="F94" s="27">
        <f>IF(AND(MOD((65/80*(60/C5)),(60/C5))&lt;(60/C5*C9),MOD((65/80*(60/C5)),(60/C5))&lt;C12),-ABS(C11)*SIN(PI()*MOD((65/80*(60/C5)),(60/C5))/C12),0)</f>
        <v/>
      </c>
      <c r="G94" s="27">
        <f>C6*(C10/(C7+C10))+(E94/1000)/C10+F94</f>
        <v/>
      </c>
      <c r="H94" s="27">
        <f>C94-G94</f>
        <v/>
      </c>
      <c r="I94" s="27">
        <f>C6+(E94/1000)/C7</f>
        <v/>
      </c>
    </row>
    <row r="95" ht="12.95" customHeight="1" s="44">
      <c r="B95" s="25">
        <f>(66/80*(60/C5))</f>
        <v/>
      </c>
      <c r="C95" s="25">
        <f>IF(MOD((66/80*(60/C5)),(60/C5))&lt;(60/C5*C9),C6+C4,C6)</f>
        <v/>
      </c>
      <c r="D95" s="25">
        <f>IF(MOD((66/80*(60/C5)),(60/C5))&lt;(60/C5*C9),((C6+C4)/C8)*EXP(-MOD((66/80*(60/C5)),(60/C5))/(C8*C7))*60,-(((C6+C4)*C7*(1-EXP(-(60/C5*C9)/(C8*C7))))/(C8*C7))*EXP(-(MOD((66/80*(60/C5)),(60/C5))-(60/C5*C9))/(C8*C7))*60)</f>
        <v/>
      </c>
      <c r="E95" s="26">
        <f>(IF(MOD((66/80*(60/C5)),(60/C5))&lt;(60/C5*C9),(C6+C4)*C7*(1-EXP(-MOD((66/80*(60/C5)),(60/C5))/(C8*C7))),((C6+C4)*C7*(1-EXP(-(60/C5*C9)/(C8*C7))))*EXP(-(MOD((66/80*(60/C5)),(60/C5))-(60/C5*C9))/(C8*C7))))*1000</f>
        <v/>
      </c>
      <c r="F95" s="25">
        <f>IF(AND(MOD((66/80*(60/C5)),(60/C5))&lt;(60/C5*C9),MOD((66/80*(60/C5)),(60/C5))&lt;C12),-ABS(C11)*SIN(PI()*MOD((66/80*(60/C5)),(60/C5))/C12),0)</f>
        <v/>
      </c>
      <c r="G95" s="25">
        <f>C6*(C10/(C7+C10))+(E95/1000)/C10+F95</f>
        <v/>
      </c>
      <c r="H95" s="25">
        <f>C95-G95</f>
        <v/>
      </c>
      <c r="I95" s="25">
        <f>C6+(E95/1000)/C7</f>
        <v/>
      </c>
    </row>
    <row r="96" ht="12.95" customHeight="1" s="44">
      <c r="B96" s="27">
        <f>(67/80*(60/C5))</f>
        <v/>
      </c>
      <c r="C96" s="27">
        <f>IF(MOD((67/80*(60/C5)),(60/C5))&lt;(60/C5*C9),C6+C4,C6)</f>
        <v/>
      </c>
      <c r="D96" s="27">
        <f>IF(MOD((67/80*(60/C5)),(60/C5))&lt;(60/C5*C9),((C6+C4)/C8)*EXP(-MOD((67/80*(60/C5)),(60/C5))/(C8*C7))*60,-(((C6+C4)*C7*(1-EXP(-(60/C5*C9)/(C8*C7))))/(C8*C7))*EXP(-(MOD((67/80*(60/C5)),(60/C5))-(60/C5*C9))/(C8*C7))*60)</f>
        <v/>
      </c>
      <c r="E96" s="28">
        <f>(IF(MOD((67/80*(60/C5)),(60/C5))&lt;(60/C5*C9),(C6+C4)*C7*(1-EXP(-MOD((67/80*(60/C5)),(60/C5))/(C8*C7))),((C6+C4)*C7*(1-EXP(-(60/C5*C9)/(C8*C7))))*EXP(-(MOD((67/80*(60/C5)),(60/C5))-(60/C5*C9))/(C8*C7))))*1000</f>
        <v/>
      </c>
      <c r="F96" s="27">
        <f>IF(AND(MOD((67/80*(60/C5)),(60/C5))&lt;(60/C5*C9),MOD((67/80*(60/C5)),(60/C5))&lt;C12),-ABS(C11)*SIN(PI()*MOD((67/80*(60/C5)),(60/C5))/C12),0)</f>
        <v/>
      </c>
      <c r="G96" s="27">
        <f>C6*(C10/(C7+C10))+(E96/1000)/C10+F96</f>
        <v/>
      </c>
      <c r="H96" s="27">
        <f>C96-G96</f>
        <v/>
      </c>
      <c r="I96" s="27">
        <f>C6+(E96/1000)/C7</f>
        <v/>
      </c>
    </row>
    <row r="97" ht="12.95" customHeight="1" s="44">
      <c r="B97" s="25">
        <f>(68/80*(60/C5))</f>
        <v/>
      </c>
      <c r="C97" s="25">
        <f>IF(MOD((68/80*(60/C5)),(60/C5))&lt;(60/C5*C9),C6+C4,C6)</f>
        <v/>
      </c>
      <c r="D97" s="25">
        <f>IF(MOD((68/80*(60/C5)),(60/C5))&lt;(60/C5*C9),((C6+C4)/C8)*EXP(-MOD((68/80*(60/C5)),(60/C5))/(C8*C7))*60,-(((C6+C4)*C7*(1-EXP(-(60/C5*C9)/(C8*C7))))/(C8*C7))*EXP(-(MOD((68/80*(60/C5)),(60/C5))-(60/C5*C9))/(C8*C7))*60)</f>
        <v/>
      </c>
      <c r="E97" s="26">
        <f>(IF(MOD((68/80*(60/C5)),(60/C5))&lt;(60/C5*C9),(C6+C4)*C7*(1-EXP(-MOD((68/80*(60/C5)),(60/C5))/(C8*C7))),((C6+C4)*C7*(1-EXP(-(60/C5*C9)/(C8*C7))))*EXP(-(MOD((68/80*(60/C5)),(60/C5))-(60/C5*C9))/(C8*C7))))*1000</f>
        <v/>
      </c>
      <c r="F97" s="25">
        <f>IF(AND(MOD((68/80*(60/C5)),(60/C5))&lt;(60/C5*C9),MOD((68/80*(60/C5)),(60/C5))&lt;C12),-ABS(C11)*SIN(PI()*MOD((68/80*(60/C5)),(60/C5))/C12),0)</f>
        <v/>
      </c>
      <c r="G97" s="25">
        <f>C6*(C10/(C7+C10))+(E97/1000)/C10+F97</f>
        <v/>
      </c>
      <c r="H97" s="25">
        <f>C97-G97</f>
        <v/>
      </c>
      <c r="I97" s="25">
        <f>C6+(E97/1000)/C7</f>
        <v/>
      </c>
    </row>
    <row r="98" ht="12.95" customHeight="1" s="44">
      <c r="B98" s="27">
        <f>(69/80*(60/C5))</f>
        <v/>
      </c>
      <c r="C98" s="27">
        <f>IF(MOD((69/80*(60/C5)),(60/C5))&lt;(60/C5*C9),C6+C4,C6)</f>
        <v/>
      </c>
      <c r="D98" s="27">
        <f>IF(MOD((69/80*(60/C5)),(60/C5))&lt;(60/C5*C9),((C6+C4)/C8)*EXP(-MOD((69/80*(60/C5)),(60/C5))/(C8*C7))*60,-(((C6+C4)*C7*(1-EXP(-(60/C5*C9)/(C8*C7))))/(C8*C7))*EXP(-(MOD((69/80*(60/C5)),(60/C5))-(60/C5*C9))/(C8*C7))*60)</f>
        <v/>
      </c>
      <c r="E98" s="28">
        <f>(IF(MOD((69/80*(60/C5)),(60/C5))&lt;(60/C5*C9),(C6+C4)*C7*(1-EXP(-MOD((69/80*(60/C5)),(60/C5))/(C8*C7))),((C6+C4)*C7*(1-EXP(-(60/C5*C9)/(C8*C7))))*EXP(-(MOD((69/80*(60/C5)),(60/C5))-(60/C5*C9))/(C8*C7))))*1000</f>
        <v/>
      </c>
      <c r="F98" s="27">
        <f>IF(AND(MOD((69/80*(60/C5)),(60/C5))&lt;(60/C5*C9),MOD((69/80*(60/C5)),(60/C5))&lt;C12),-ABS(C11)*SIN(PI()*MOD((69/80*(60/C5)),(60/C5))/C12),0)</f>
        <v/>
      </c>
      <c r="G98" s="27">
        <f>C6*(C10/(C7+C10))+(E98/1000)/C10+F98</f>
        <v/>
      </c>
      <c r="H98" s="27">
        <f>C98-G98</f>
        <v/>
      </c>
      <c r="I98" s="27">
        <f>C6+(E98/1000)/C7</f>
        <v/>
      </c>
    </row>
    <row r="99" ht="12.95" customHeight="1" s="44">
      <c r="B99" s="25">
        <f>(70/80*(60/C5))</f>
        <v/>
      </c>
      <c r="C99" s="25">
        <f>IF(MOD((70/80*(60/C5)),(60/C5))&lt;(60/C5*C9),C6+C4,C6)</f>
        <v/>
      </c>
      <c r="D99" s="25">
        <f>IF(MOD((70/80*(60/C5)),(60/C5))&lt;(60/C5*C9),((C6+C4)/C8)*EXP(-MOD((70/80*(60/C5)),(60/C5))/(C8*C7))*60,-(((C6+C4)*C7*(1-EXP(-(60/C5*C9)/(C8*C7))))/(C8*C7))*EXP(-(MOD((70/80*(60/C5)),(60/C5))-(60/C5*C9))/(C8*C7))*60)</f>
        <v/>
      </c>
      <c r="E99" s="26">
        <f>(IF(MOD((70/80*(60/C5)),(60/C5))&lt;(60/C5*C9),(C6+C4)*C7*(1-EXP(-MOD((70/80*(60/C5)),(60/C5))/(C8*C7))),((C6+C4)*C7*(1-EXP(-(60/C5*C9)/(C8*C7))))*EXP(-(MOD((70/80*(60/C5)),(60/C5))-(60/C5*C9))/(C8*C7))))*1000</f>
        <v/>
      </c>
      <c r="F99" s="25">
        <f>IF(AND(MOD((70/80*(60/C5)),(60/C5))&lt;(60/C5*C9),MOD((70/80*(60/C5)),(60/C5))&lt;C12),-ABS(C11)*SIN(PI()*MOD((70/80*(60/C5)),(60/C5))/C12),0)</f>
        <v/>
      </c>
      <c r="G99" s="25">
        <f>C6*(C10/(C7+C10))+(E99/1000)/C10+F99</f>
        <v/>
      </c>
      <c r="H99" s="25">
        <f>C99-G99</f>
        <v/>
      </c>
      <c r="I99" s="25">
        <f>C6+(E99/1000)/C7</f>
        <v/>
      </c>
    </row>
    <row r="100" ht="12.95" customHeight="1" s="44">
      <c r="B100" s="27">
        <f>(71/80*(60/C5))</f>
        <v/>
      </c>
      <c r="C100" s="27">
        <f>IF(MOD((71/80*(60/C5)),(60/C5))&lt;(60/C5*C9),C6+C4,C6)</f>
        <v/>
      </c>
      <c r="D100" s="27">
        <f>IF(MOD((71/80*(60/C5)),(60/C5))&lt;(60/C5*C9),((C6+C4)/C8)*EXP(-MOD((71/80*(60/C5)),(60/C5))/(C8*C7))*60,-(((C6+C4)*C7*(1-EXP(-(60/C5*C9)/(C8*C7))))/(C8*C7))*EXP(-(MOD((71/80*(60/C5)),(60/C5))-(60/C5*C9))/(C8*C7))*60)</f>
        <v/>
      </c>
      <c r="E100" s="28">
        <f>(IF(MOD((71/80*(60/C5)),(60/C5))&lt;(60/C5*C9),(C6+C4)*C7*(1-EXP(-MOD((71/80*(60/C5)),(60/C5))/(C8*C7))),((C6+C4)*C7*(1-EXP(-(60/C5*C9)/(C8*C7))))*EXP(-(MOD((71/80*(60/C5)),(60/C5))-(60/C5*C9))/(C8*C7))))*1000</f>
        <v/>
      </c>
      <c r="F100" s="27">
        <f>IF(AND(MOD((71/80*(60/C5)),(60/C5))&lt;(60/C5*C9),MOD((71/80*(60/C5)),(60/C5))&lt;C12),-ABS(C11)*SIN(PI()*MOD((71/80*(60/C5)),(60/C5))/C12),0)</f>
        <v/>
      </c>
      <c r="G100" s="27">
        <f>C6*(C10/(C7+C10))+(E100/1000)/C10+F100</f>
        <v/>
      </c>
      <c r="H100" s="27">
        <f>C100-G100</f>
        <v/>
      </c>
      <c r="I100" s="27">
        <f>C6+(E100/1000)/C7</f>
        <v/>
      </c>
    </row>
    <row r="101" ht="12.95" customHeight="1" s="44">
      <c r="B101" s="25">
        <f>(72/80*(60/C5))</f>
        <v/>
      </c>
      <c r="C101" s="25">
        <f>IF(MOD((72/80*(60/C5)),(60/C5))&lt;(60/C5*C9),C6+C4,C6)</f>
        <v/>
      </c>
      <c r="D101" s="25">
        <f>IF(MOD((72/80*(60/C5)),(60/C5))&lt;(60/C5*C9),((C6+C4)/C8)*EXP(-MOD((72/80*(60/C5)),(60/C5))/(C8*C7))*60,-(((C6+C4)*C7*(1-EXP(-(60/C5*C9)/(C8*C7))))/(C8*C7))*EXP(-(MOD((72/80*(60/C5)),(60/C5))-(60/C5*C9))/(C8*C7))*60)</f>
        <v/>
      </c>
      <c r="E101" s="26">
        <f>(IF(MOD((72/80*(60/C5)),(60/C5))&lt;(60/C5*C9),(C6+C4)*C7*(1-EXP(-MOD((72/80*(60/C5)),(60/C5))/(C8*C7))),((C6+C4)*C7*(1-EXP(-(60/C5*C9)/(C8*C7))))*EXP(-(MOD((72/80*(60/C5)),(60/C5))-(60/C5*C9))/(C8*C7))))*1000</f>
        <v/>
      </c>
      <c r="F101" s="25">
        <f>IF(AND(MOD((72/80*(60/C5)),(60/C5))&lt;(60/C5*C9),MOD((72/80*(60/C5)),(60/C5))&lt;C12),-ABS(C11)*SIN(PI()*MOD((72/80*(60/C5)),(60/C5))/C12),0)</f>
        <v/>
      </c>
      <c r="G101" s="25">
        <f>C6*(C10/(C7+C10))+(E101/1000)/C10+F101</f>
        <v/>
      </c>
      <c r="H101" s="25">
        <f>C101-G101</f>
        <v/>
      </c>
      <c r="I101" s="25">
        <f>C6+(E101/1000)/C7</f>
        <v/>
      </c>
    </row>
    <row r="102" ht="12.95" customHeight="1" s="44">
      <c r="B102" s="27">
        <f>(73/80*(60/C5))</f>
        <v/>
      </c>
      <c r="C102" s="27">
        <f>IF(MOD((73/80*(60/C5)),(60/C5))&lt;(60/C5*C9),C6+C4,C6)</f>
        <v/>
      </c>
      <c r="D102" s="27">
        <f>IF(MOD((73/80*(60/C5)),(60/C5))&lt;(60/C5*C9),((C6+C4)/C8)*EXP(-MOD((73/80*(60/C5)),(60/C5))/(C8*C7))*60,-(((C6+C4)*C7*(1-EXP(-(60/C5*C9)/(C8*C7))))/(C8*C7))*EXP(-(MOD((73/80*(60/C5)),(60/C5))-(60/C5*C9))/(C8*C7))*60)</f>
        <v/>
      </c>
      <c r="E102" s="28">
        <f>(IF(MOD((73/80*(60/C5)),(60/C5))&lt;(60/C5*C9),(C6+C4)*C7*(1-EXP(-MOD((73/80*(60/C5)),(60/C5))/(C8*C7))),((C6+C4)*C7*(1-EXP(-(60/C5*C9)/(C8*C7))))*EXP(-(MOD((73/80*(60/C5)),(60/C5))-(60/C5*C9))/(C8*C7))))*1000</f>
        <v/>
      </c>
      <c r="F102" s="27">
        <f>IF(AND(MOD((73/80*(60/C5)),(60/C5))&lt;(60/C5*C9),MOD((73/80*(60/C5)),(60/C5))&lt;C12),-ABS(C11)*SIN(PI()*MOD((73/80*(60/C5)),(60/C5))/C12),0)</f>
        <v/>
      </c>
      <c r="G102" s="27">
        <f>C6*(C10/(C7+C10))+(E102/1000)/C10+F102</f>
        <v/>
      </c>
      <c r="H102" s="27">
        <f>C102-G102</f>
        <v/>
      </c>
      <c r="I102" s="27">
        <f>C6+(E102/1000)/C7</f>
        <v/>
      </c>
    </row>
    <row r="103" ht="12.95" customHeight="1" s="44">
      <c r="B103" s="25">
        <f>(74/80*(60/C5))</f>
        <v/>
      </c>
      <c r="C103" s="25">
        <f>IF(MOD((74/80*(60/C5)),(60/C5))&lt;(60/C5*C9),C6+C4,C6)</f>
        <v/>
      </c>
      <c r="D103" s="25">
        <f>IF(MOD((74/80*(60/C5)),(60/C5))&lt;(60/C5*C9),((C6+C4)/C8)*EXP(-MOD((74/80*(60/C5)),(60/C5))/(C8*C7))*60,-(((C6+C4)*C7*(1-EXP(-(60/C5*C9)/(C8*C7))))/(C8*C7))*EXP(-(MOD((74/80*(60/C5)),(60/C5))-(60/C5*C9))/(C8*C7))*60)</f>
        <v/>
      </c>
      <c r="E103" s="26">
        <f>(IF(MOD((74/80*(60/C5)),(60/C5))&lt;(60/C5*C9),(C6+C4)*C7*(1-EXP(-MOD((74/80*(60/C5)),(60/C5))/(C8*C7))),((C6+C4)*C7*(1-EXP(-(60/C5*C9)/(C8*C7))))*EXP(-(MOD((74/80*(60/C5)),(60/C5))-(60/C5*C9))/(C8*C7))))*1000</f>
        <v/>
      </c>
      <c r="F103" s="25">
        <f>IF(AND(MOD((74/80*(60/C5)),(60/C5))&lt;(60/C5*C9),MOD((74/80*(60/C5)),(60/C5))&lt;C12),-ABS(C11)*SIN(PI()*MOD((74/80*(60/C5)),(60/C5))/C12),0)</f>
        <v/>
      </c>
      <c r="G103" s="25">
        <f>C6*(C10/(C7+C10))+(E103/1000)/C10+F103</f>
        <v/>
      </c>
      <c r="H103" s="25">
        <f>C103-G103</f>
        <v/>
      </c>
      <c r="I103" s="25">
        <f>C6+(E103/1000)/C7</f>
        <v/>
      </c>
    </row>
    <row r="104" ht="12.95" customHeight="1" s="44">
      <c r="B104" s="27">
        <f>(75/80*(60/C5))</f>
        <v/>
      </c>
      <c r="C104" s="27">
        <f>IF(MOD((75/80*(60/C5)),(60/C5))&lt;(60/C5*C9),C6+C4,C6)</f>
        <v/>
      </c>
      <c r="D104" s="27">
        <f>IF(MOD((75/80*(60/C5)),(60/C5))&lt;(60/C5*C9),((C6+C4)/C8)*EXP(-MOD((75/80*(60/C5)),(60/C5))/(C8*C7))*60,-(((C6+C4)*C7*(1-EXP(-(60/C5*C9)/(C8*C7))))/(C8*C7))*EXP(-(MOD((75/80*(60/C5)),(60/C5))-(60/C5*C9))/(C8*C7))*60)</f>
        <v/>
      </c>
      <c r="E104" s="28">
        <f>(IF(MOD((75/80*(60/C5)),(60/C5))&lt;(60/C5*C9),(C6+C4)*C7*(1-EXP(-MOD((75/80*(60/C5)),(60/C5))/(C8*C7))),((C6+C4)*C7*(1-EXP(-(60/C5*C9)/(C8*C7))))*EXP(-(MOD((75/80*(60/C5)),(60/C5))-(60/C5*C9))/(C8*C7))))*1000</f>
        <v/>
      </c>
      <c r="F104" s="27">
        <f>IF(AND(MOD((75/80*(60/C5)),(60/C5))&lt;(60/C5*C9),MOD((75/80*(60/C5)),(60/C5))&lt;C12),-ABS(C11)*SIN(PI()*MOD((75/80*(60/C5)),(60/C5))/C12),0)</f>
        <v/>
      </c>
      <c r="G104" s="27">
        <f>C6*(C10/(C7+C10))+(E104/1000)/C10+F104</f>
        <v/>
      </c>
      <c r="H104" s="27">
        <f>C104-G104</f>
        <v/>
      </c>
      <c r="I104" s="27">
        <f>C6+(E104/1000)/C7</f>
        <v/>
      </c>
    </row>
    <row r="105" ht="12.95" customHeight="1" s="44">
      <c r="B105" s="25">
        <f>(76/80*(60/C5))</f>
        <v/>
      </c>
      <c r="C105" s="25">
        <f>IF(MOD((76/80*(60/C5)),(60/C5))&lt;(60/C5*C9),C6+C4,C6)</f>
        <v/>
      </c>
      <c r="D105" s="25">
        <f>IF(MOD((76/80*(60/C5)),(60/C5))&lt;(60/C5*C9),((C6+C4)/C8)*EXP(-MOD((76/80*(60/C5)),(60/C5))/(C8*C7))*60,-(((C6+C4)*C7*(1-EXP(-(60/C5*C9)/(C8*C7))))/(C8*C7))*EXP(-(MOD((76/80*(60/C5)),(60/C5))-(60/C5*C9))/(C8*C7))*60)</f>
        <v/>
      </c>
      <c r="E105" s="26">
        <f>(IF(MOD((76/80*(60/C5)),(60/C5))&lt;(60/C5*C9),(C6+C4)*C7*(1-EXP(-MOD((76/80*(60/C5)),(60/C5))/(C8*C7))),((C6+C4)*C7*(1-EXP(-(60/C5*C9)/(C8*C7))))*EXP(-(MOD((76/80*(60/C5)),(60/C5))-(60/C5*C9))/(C8*C7))))*1000</f>
        <v/>
      </c>
      <c r="F105" s="25">
        <f>IF(AND(MOD((76/80*(60/C5)),(60/C5))&lt;(60/C5*C9),MOD((76/80*(60/C5)),(60/C5))&lt;C12),-ABS(C11)*SIN(PI()*MOD((76/80*(60/C5)),(60/C5))/C12),0)</f>
        <v/>
      </c>
      <c r="G105" s="25">
        <f>C6*(C10/(C7+C10))+(E105/1000)/C10+F105</f>
        <v/>
      </c>
      <c r="H105" s="25">
        <f>C105-G105</f>
        <v/>
      </c>
      <c r="I105" s="25">
        <f>C6+(E105/1000)/C7</f>
        <v/>
      </c>
    </row>
    <row r="106" ht="12.95" customHeight="1" s="44">
      <c r="B106" s="27">
        <f>(77/80*(60/C5))</f>
        <v/>
      </c>
      <c r="C106" s="27">
        <f>IF(MOD((77/80*(60/C5)),(60/C5))&lt;(60/C5*C9),C6+C4,C6)</f>
        <v/>
      </c>
      <c r="D106" s="27">
        <f>IF(MOD((77/80*(60/C5)),(60/C5))&lt;(60/C5*C9),((C6+C4)/C8)*EXP(-MOD((77/80*(60/C5)),(60/C5))/(C8*C7))*60,-(((C6+C4)*C7*(1-EXP(-(60/C5*C9)/(C8*C7))))/(C8*C7))*EXP(-(MOD((77/80*(60/C5)),(60/C5))-(60/C5*C9))/(C8*C7))*60)</f>
        <v/>
      </c>
      <c r="E106" s="28">
        <f>(IF(MOD((77/80*(60/C5)),(60/C5))&lt;(60/C5*C9),(C6+C4)*C7*(1-EXP(-MOD((77/80*(60/C5)),(60/C5))/(C8*C7))),((C6+C4)*C7*(1-EXP(-(60/C5*C9)/(C8*C7))))*EXP(-(MOD((77/80*(60/C5)),(60/C5))-(60/C5*C9))/(C8*C7))))*1000</f>
        <v/>
      </c>
      <c r="F106" s="27">
        <f>IF(AND(MOD((77/80*(60/C5)),(60/C5))&lt;(60/C5*C9),MOD((77/80*(60/C5)),(60/C5))&lt;C12),-ABS(C11)*SIN(PI()*MOD((77/80*(60/C5)),(60/C5))/C12),0)</f>
        <v/>
      </c>
      <c r="G106" s="27">
        <f>C6*(C10/(C7+C10))+(E106/1000)/C10+F106</f>
        <v/>
      </c>
      <c r="H106" s="27">
        <f>C106-G106</f>
        <v/>
      </c>
      <c r="I106" s="27">
        <f>C6+(E106/1000)/C7</f>
        <v/>
      </c>
    </row>
    <row r="107" ht="12.95" customHeight="1" s="44">
      <c r="B107" s="25">
        <f>(78/80*(60/C5))</f>
        <v/>
      </c>
      <c r="C107" s="25">
        <f>IF(MOD((78/80*(60/C5)),(60/C5))&lt;(60/C5*C9),C6+C4,C6)</f>
        <v/>
      </c>
      <c r="D107" s="25">
        <f>IF(MOD((78/80*(60/C5)),(60/C5))&lt;(60/C5*C9),((C6+C4)/C8)*EXP(-MOD((78/80*(60/C5)),(60/C5))/(C8*C7))*60,-(((C6+C4)*C7*(1-EXP(-(60/C5*C9)/(C8*C7))))/(C8*C7))*EXP(-(MOD((78/80*(60/C5)),(60/C5))-(60/C5*C9))/(C8*C7))*60)</f>
        <v/>
      </c>
      <c r="E107" s="26">
        <f>(IF(MOD((78/80*(60/C5)),(60/C5))&lt;(60/C5*C9),(C6+C4)*C7*(1-EXP(-MOD((78/80*(60/C5)),(60/C5))/(C8*C7))),((C6+C4)*C7*(1-EXP(-(60/C5*C9)/(C8*C7))))*EXP(-(MOD((78/80*(60/C5)),(60/C5))-(60/C5*C9))/(C8*C7))))*1000</f>
        <v/>
      </c>
      <c r="F107" s="25">
        <f>IF(AND(MOD((78/80*(60/C5)),(60/C5))&lt;(60/C5*C9),MOD((78/80*(60/C5)),(60/C5))&lt;C12),-ABS(C11)*SIN(PI()*MOD((78/80*(60/C5)),(60/C5))/C12),0)</f>
        <v/>
      </c>
      <c r="G107" s="25">
        <f>C6*(C10/(C7+C10))+(E107/1000)/C10+F107</f>
        <v/>
      </c>
      <c r="H107" s="25">
        <f>C107-G107</f>
        <v/>
      </c>
      <c r="I107" s="25">
        <f>C6+(E107/1000)/C7</f>
        <v/>
      </c>
    </row>
    <row r="108" ht="12.95" customHeight="1" s="44">
      <c r="B108" s="27">
        <f>(79/80*(60/C5))</f>
        <v/>
      </c>
      <c r="C108" s="27">
        <f>IF(MOD((79/80*(60/C5)),(60/C5))&lt;(60/C5*C9),C6+C4,C6)</f>
        <v/>
      </c>
      <c r="D108" s="27">
        <f>IF(MOD((79/80*(60/C5)),(60/C5))&lt;(60/C5*C9),((C6+C4)/C8)*EXP(-MOD((79/80*(60/C5)),(60/C5))/(C8*C7))*60,-(((C6+C4)*C7*(1-EXP(-(60/C5*C9)/(C8*C7))))/(C8*C7))*EXP(-(MOD((79/80*(60/C5)),(60/C5))-(60/C5*C9))/(C8*C7))*60)</f>
        <v/>
      </c>
      <c r="E108" s="28">
        <f>(IF(MOD((79/80*(60/C5)),(60/C5))&lt;(60/C5*C9),(C6+C4)*C7*(1-EXP(-MOD((79/80*(60/C5)),(60/C5))/(C8*C7))),((C6+C4)*C7*(1-EXP(-(60/C5*C9)/(C8*C7))))*EXP(-(MOD((79/80*(60/C5)),(60/C5))-(60/C5*C9))/(C8*C7))))*1000</f>
        <v/>
      </c>
      <c r="F108" s="27">
        <f>IF(AND(MOD((79/80*(60/C5)),(60/C5))&lt;(60/C5*C9),MOD((79/80*(60/C5)),(60/C5))&lt;C12),-ABS(C11)*SIN(PI()*MOD((79/80*(60/C5)),(60/C5))/C12),0)</f>
        <v/>
      </c>
      <c r="G108" s="27">
        <f>C6*(C10/(C7+C10))+(E108/1000)/C10+F108</f>
        <v/>
      </c>
      <c r="H108" s="27">
        <f>C108-G108</f>
        <v/>
      </c>
      <c r="I108" s="27">
        <f>C6+(E108/1000)/C7</f>
        <v/>
      </c>
    </row>
    <row r="109" ht="12.95" customHeight="1" s="44">
      <c r="B109" s="25">
        <f>(80/80*(60/C5))</f>
        <v/>
      </c>
      <c r="C109" s="25">
        <f>IF(MOD((80/80*(60/C5)),(60/C5))&lt;(60/C5*C9),C6+C4,C6)</f>
        <v/>
      </c>
      <c r="D109" s="25">
        <f>IF(MOD((80/80*(60/C5)),(60/C5))&lt;(60/C5*C9),((C6+C4)/C8)*EXP(-MOD((80/80*(60/C5)),(60/C5))/(C8*C7))*60,-(((C6+C4)*C7*(1-EXP(-(60/C5*C9)/(C8*C7))))/(C8*C7))*EXP(-(MOD((80/80*(60/C5)),(60/C5))-(60/C5*C9))/(C8*C7))*60)</f>
        <v/>
      </c>
      <c r="E109" s="26">
        <f>(IF(MOD((80/80*(60/C5)),(60/C5))&lt;(60/C5*C9),(C6+C4)*C7*(1-EXP(-MOD((80/80*(60/C5)),(60/C5))/(C8*C7))),((C6+C4)*C7*(1-EXP(-(60/C5*C9)/(C8*C7))))*EXP(-(MOD((80/80*(60/C5)),(60/C5))-(60/C5*C9))/(C8*C7))))*1000</f>
        <v/>
      </c>
      <c r="F109" s="25">
        <f>IF(AND(MOD((80/80*(60/C5)),(60/C5))&lt;(60/C5*C9),MOD((80/80*(60/C5)),(60/C5))&lt;C12),-ABS(C11)*SIN(PI()*MOD((80/80*(60/C5)),(60/C5))/C12),0)</f>
        <v/>
      </c>
      <c r="G109" s="25">
        <f>C6*(C10/(C7+C10))+(E109/1000)/C10+F109</f>
        <v/>
      </c>
      <c r="H109" s="25">
        <f>C109-G109</f>
        <v/>
      </c>
      <c r="I109" s="25">
        <f>C6+(E109/1000)/C7</f>
        <v/>
      </c>
    </row>
    <row r="110" ht="12.95" customHeight="1" s="44">
      <c r="B110" s="27">
        <f>(81/80*(60/C5))</f>
        <v/>
      </c>
      <c r="C110" s="27">
        <f>IF(MOD((81/80*(60/C5)),(60/C5))&lt;(60/C5*C9),C6+C4,C6)</f>
        <v/>
      </c>
      <c r="D110" s="27">
        <f>IF(MOD((81/80*(60/C5)),(60/C5))&lt;(60/C5*C9),((C6+C4)/C8)*EXP(-MOD((81/80*(60/C5)),(60/C5))/(C8*C7))*60,-(((C6+C4)*C7*(1-EXP(-(60/C5*C9)/(C8*C7))))/(C8*C7))*EXP(-(MOD((81/80*(60/C5)),(60/C5))-(60/C5*C9))/(C8*C7))*60)</f>
        <v/>
      </c>
      <c r="E110" s="28">
        <f>(IF(MOD((81/80*(60/C5)),(60/C5))&lt;(60/C5*C9),(C6+C4)*C7*(1-EXP(-MOD((81/80*(60/C5)),(60/C5))/(C8*C7))),((C6+C4)*C7*(1-EXP(-(60/C5*C9)/(C8*C7))))*EXP(-(MOD((81/80*(60/C5)),(60/C5))-(60/C5*C9))/(C8*C7))))*1000</f>
        <v/>
      </c>
      <c r="F110" s="27">
        <f>IF(AND(MOD((81/80*(60/C5)),(60/C5))&lt;(60/C5*C9),MOD((81/80*(60/C5)),(60/C5))&lt;C12),-ABS(C11)*SIN(PI()*MOD((81/80*(60/C5)),(60/C5))/C12),0)</f>
        <v/>
      </c>
      <c r="G110" s="27">
        <f>C6*(C10/(C7+C10))+(E110/1000)/C10+F110</f>
        <v/>
      </c>
      <c r="H110" s="27">
        <f>C110-G110</f>
        <v/>
      </c>
      <c r="I110" s="27">
        <f>C6+(E110/1000)/C7</f>
        <v/>
      </c>
    </row>
    <row r="111" ht="12.95" customHeight="1" s="44">
      <c r="B111" s="25">
        <f>(82/80*(60/C5))</f>
        <v/>
      </c>
      <c r="C111" s="25">
        <f>IF(MOD((82/80*(60/C5)),(60/C5))&lt;(60/C5*C9),C6+C4,C6)</f>
        <v/>
      </c>
      <c r="D111" s="25">
        <f>IF(MOD((82/80*(60/C5)),(60/C5))&lt;(60/C5*C9),((C6+C4)/C8)*EXP(-MOD((82/80*(60/C5)),(60/C5))/(C8*C7))*60,-(((C6+C4)*C7*(1-EXP(-(60/C5*C9)/(C8*C7))))/(C8*C7))*EXP(-(MOD((82/80*(60/C5)),(60/C5))-(60/C5*C9))/(C8*C7))*60)</f>
        <v/>
      </c>
      <c r="E111" s="26">
        <f>(IF(MOD((82/80*(60/C5)),(60/C5))&lt;(60/C5*C9),(C6+C4)*C7*(1-EXP(-MOD((82/80*(60/C5)),(60/C5))/(C8*C7))),((C6+C4)*C7*(1-EXP(-(60/C5*C9)/(C8*C7))))*EXP(-(MOD((82/80*(60/C5)),(60/C5))-(60/C5*C9))/(C8*C7))))*1000</f>
        <v/>
      </c>
      <c r="F111" s="25">
        <f>IF(AND(MOD((82/80*(60/C5)),(60/C5))&lt;(60/C5*C9),MOD((82/80*(60/C5)),(60/C5))&lt;C12),-ABS(C11)*SIN(PI()*MOD((82/80*(60/C5)),(60/C5))/C12),0)</f>
        <v/>
      </c>
      <c r="G111" s="25">
        <f>C6*(C10/(C7+C10))+(E111/1000)/C10+F111</f>
        <v/>
      </c>
      <c r="H111" s="25">
        <f>C111-G111</f>
        <v/>
      </c>
      <c r="I111" s="25">
        <f>C6+(E111/1000)/C7</f>
        <v/>
      </c>
    </row>
    <row r="112" ht="12.95" customHeight="1" s="44">
      <c r="B112" s="27">
        <f>(83/80*(60/C5))</f>
        <v/>
      </c>
      <c r="C112" s="27">
        <f>IF(MOD((83/80*(60/C5)),(60/C5))&lt;(60/C5*C9),C6+C4,C6)</f>
        <v/>
      </c>
      <c r="D112" s="27">
        <f>IF(MOD((83/80*(60/C5)),(60/C5))&lt;(60/C5*C9),((C6+C4)/C8)*EXP(-MOD((83/80*(60/C5)),(60/C5))/(C8*C7))*60,-(((C6+C4)*C7*(1-EXP(-(60/C5*C9)/(C8*C7))))/(C8*C7))*EXP(-(MOD((83/80*(60/C5)),(60/C5))-(60/C5*C9))/(C8*C7))*60)</f>
        <v/>
      </c>
      <c r="E112" s="28">
        <f>(IF(MOD((83/80*(60/C5)),(60/C5))&lt;(60/C5*C9),(C6+C4)*C7*(1-EXP(-MOD((83/80*(60/C5)),(60/C5))/(C8*C7))),((C6+C4)*C7*(1-EXP(-(60/C5*C9)/(C8*C7))))*EXP(-(MOD((83/80*(60/C5)),(60/C5))-(60/C5*C9))/(C8*C7))))*1000</f>
        <v/>
      </c>
      <c r="F112" s="27">
        <f>IF(AND(MOD((83/80*(60/C5)),(60/C5))&lt;(60/C5*C9),MOD((83/80*(60/C5)),(60/C5))&lt;C12),-ABS(C11)*SIN(PI()*MOD((83/80*(60/C5)),(60/C5))/C12),0)</f>
        <v/>
      </c>
      <c r="G112" s="27">
        <f>C6*(C10/(C7+C10))+(E112/1000)/C10+F112</f>
        <v/>
      </c>
      <c r="H112" s="27">
        <f>C112-G112</f>
        <v/>
      </c>
      <c r="I112" s="27">
        <f>C6+(E112/1000)/C7</f>
        <v/>
      </c>
    </row>
    <row r="113" ht="12.95" customHeight="1" s="44">
      <c r="B113" s="25">
        <f>(84/80*(60/C5))</f>
        <v/>
      </c>
      <c r="C113" s="25">
        <f>IF(MOD((84/80*(60/C5)),(60/C5))&lt;(60/C5*C9),C6+C4,C6)</f>
        <v/>
      </c>
      <c r="D113" s="25">
        <f>IF(MOD((84/80*(60/C5)),(60/C5))&lt;(60/C5*C9),((C6+C4)/C8)*EXP(-MOD((84/80*(60/C5)),(60/C5))/(C8*C7))*60,-(((C6+C4)*C7*(1-EXP(-(60/C5*C9)/(C8*C7))))/(C8*C7))*EXP(-(MOD((84/80*(60/C5)),(60/C5))-(60/C5*C9))/(C8*C7))*60)</f>
        <v/>
      </c>
      <c r="E113" s="26">
        <f>(IF(MOD((84/80*(60/C5)),(60/C5))&lt;(60/C5*C9),(C6+C4)*C7*(1-EXP(-MOD((84/80*(60/C5)),(60/C5))/(C8*C7))),((C6+C4)*C7*(1-EXP(-(60/C5*C9)/(C8*C7))))*EXP(-(MOD((84/80*(60/C5)),(60/C5))-(60/C5*C9))/(C8*C7))))*1000</f>
        <v/>
      </c>
      <c r="F113" s="25">
        <f>IF(AND(MOD((84/80*(60/C5)),(60/C5))&lt;(60/C5*C9),MOD((84/80*(60/C5)),(60/C5))&lt;C12),-ABS(C11)*SIN(PI()*MOD((84/80*(60/C5)),(60/C5))/C12),0)</f>
        <v/>
      </c>
      <c r="G113" s="25">
        <f>C6*(C10/(C7+C10))+(E113/1000)/C10+F113</f>
        <v/>
      </c>
      <c r="H113" s="25">
        <f>C113-G113</f>
        <v/>
      </c>
      <c r="I113" s="25">
        <f>C6+(E113/1000)/C7</f>
        <v/>
      </c>
    </row>
    <row r="114" ht="12.95" customHeight="1" s="44">
      <c r="B114" s="27">
        <f>(85/80*(60/C5))</f>
        <v/>
      </c>
      <c r="C114" s="27">
        <f>IF(MOD((85/80*(60/C5)),(60/C5))&lt;(60/C5*C9),C6+C4,C6)</f>
        <v/>
      </c>
      <c r="D114" s="27">
        <f>IF(MOD((85/80*(60/C5)),(60/C5))&lt;(60/C5*C9),((C6+C4)/C8)*EXP(-MOD((85/80*(60/C5)),(60/C5))/(C8*C7))*60,-(((C6+C4)*C7*(1-EXP(-(60/C5*C9)/(C8*C7))))/(C8*C7))*EXP(-(MOD((85/80*(60/C5)),(60/C5))-(60/C5*C9))/(C8*C7))*60)</f>
        <v/>
      </c>
      <c r="E114" s="28">
        <f>(IF(MOD((85/80*(60/C5)),(60/C5))&lt;(60/C5*C9),(C6+C4)*C7*(1-EXP(-MOD((85/80*(60/C5)),(60/C5))/(C8*C7))),((C6+C4)*C7*(1-EXP(-(60/C5*C9)/(C8*C7))))*EXP(-(MOD((85/80*(60/C5)),(60/C5))-(60/C5*C9))/(C8*C7))))*1000</f>
        <v/>
      </c>
      <c r="F114" s="27">
        <f>IF(AND(MOD((85/80*(60/C5)),(60/C5))&lt;(60/C5*C9),MOD((85/80*(60/C5)),(60/C5))&lt;C12),-ABS(C11)*SIN(PI()*MOD((85/80*(60/C5)),(60/C5))/C12),0)</f>
        <v/>
      </c>
      <c r="G114" s="27">
        <f>C6*(C10/(C7+C10))+(E114/1000)/C10+F114</f>
        <v/>
      </c>
      <c r="H114" s="27">
        <f>C114-G114</f>
        <v/>
      </c>
      <c r="I114" s="27">
        <f>C6+(E114/1000)/C7</f>
        <v/>
      </c>
    </row>
    <row r="115" ht="12.95" customHeight="1" s="44">
      <c r="B115" s="25">
        <f>(86/80*(60/C5))</f>
        <v/>
      </c>
      <c r="C115" s="25">
        <f>IF(MOD((86/80*(60/C5)),(60/C5))&lt;(60/C5*C9),C6+C4,C6)</f>
        <v/>
      </c>
      <c r="D115" s="25">
        <f>IF(MOD((86/80*(60/C5)),(60/C5))&lt;(60/C5*C9),((C6+C4)/C8)*EXP(-MOD((86/80*(60/C5)),(60/C5))/(C8*C7))*60,-(((C6+C4)*C7*(1-EXP(-(60/C5*C9)/(C8*C7))))/(C8*C7))*EXP(-(MOD((86/80*(60/C5)),(60/C5))-(60/C5*C9))/(C8*C7))*60)</f>
        <v/>
      </c>
      <c r="E115" s="26">
        <f>(IF(MOD((86/80*(60/C5)),(60/C5))&lt;(60/C5*C9),(C6+C4)*C7*(1-EXP(-MOD((86/80*(60/C5)),(60/C5))/(C8*C7))),((C6+C4)*C7*(1-EXP(-(60/C5*C9)/(C8*C7))))*EXP(-(MOD((86/80*(60/C5)),(60/C5))-(60/C5*C9))/(C8*C7))))*1000</f>
        <v/>
      </c>
      <c r="F115" s="25">
        <f>IF(AND(MOD((86/80*(60/C5)),(60/C5))&lt;(60/C5*C9),MOD((86/80*(60/C5)),(60/C5))&lt;C12),-ABS(C11)*SIN(PI()*MOD((86/80*(60/C5)),(60/C5))/C12),0)</f>
        <v/>
      </c>
      <c r="G115" s="25">
        <f>C6*(C10/(C7+C10))+(E115/1000)/C10+F115</f>
        <v/>
      </c>
      <c r="H115" s="25">
        <f>C115-G115</f>
        <v/>
      </c>
      <c r="I115" s="25">
        <f>C6+(E115/1000)/C7</f>
        <v/>
      </c>
    </row>
    <row r="116" ht="12.95" customHeight="1" s="44">
      <c r="B116" s="27">
        <f>(87/80*(60/C5))</f>
        <v/>
      </c>
      <c r="C116" s="27">
        <f>IF(MOD((87/80*(60/C5)),(60/C5))&lt;(60/C5*C9),C6+C4,C6)</f>
        <v/>
      </c>
      <c r="D116" s="27">
        <f>IF(MOD((87/80*(60/C5)),(60/C5))&lt;(60/C5*C9),((C6+C4)/C8)*EXP(-MOD((87/80*(60/C5)),(60/C5))/(C8*C7))*60,-(((C6+C4)*C7*(1-EXP(-(60/C5*C9)/(C8*C7))))/(C8*C7))*EXP(-(MOD((87/80*(60/C5)),(60/C5))-(60/C5*C9))/(C8*C7))*60)</f>
        <v/>
      </c>
      <c r="E116" s="28">
        <f>(IF(MOD((87/80*(60/C5)),(60/C5))&lt;(60/C5*C9),(C6+C4)*C7*(1-EXP(-MOD((87/80*(60/C5)),(60/C5))/(C8*C7))),((C6+C4)*C7*(1-EXP(-(60/C5*C9)/(C8*C7))))*EXP(-(MOD((87/80*(60/C5)),(60/C5))-(60/C5*C9))/(C8*C7))))*1000</f>
        <v/>
      </c>
      <c r="F116" s="27">
        <f>IF(AND(MOD((87/80*(60/C5)),(60/C5))&lt;(60/C5*C9),MOD((87/80*(60/C5)),(60/C5))&lt;C12),-ABS(C11)*SIN(PI()*MOD((87/80*(60/C5)),(60/C5))/C12),0)</f>
        <v/>
      </c>
      <c r="G116" s="27">
        <f>C6*(C10/(C7+C10))+(E116/1000)/C10+F116</f>
        <v/>
      </c>
      <c r="H116" s="27">
        <f>C116-G116</f>
        <v/>
      </c>
      <c r="I116" s="27">
        <f>C6+(E116/1000)/C7</f>
        <v/>
      </c>
    </row>
    <row r="117" ht="12.95" customHeight="1" s="44">
      <c r="B117" s="25">
        <f>(88/80*(60/C5))</f>
        <v/>
      </c>
      <c r="C117" s="25">
        <f>IF(MOD((88/80*(60/C5)),(60/C5))&lt;(60/C5*C9),C6+C4,C6)</f>
        <v/>
      </c>
      <c r="D117" s="25">
        <f>IF(MOD((88/80*(60/C5)),(60/C5))&lt;(60/C5*C9),((C6+C4)/C8)*EXP(-MOD((88/80*(60/C5)),(60/C5))/(C8*C7))*60,-(((C6+C4)*C7*(1-EXP(-(60/C5*C9)/(C8*C7))))/(C8*C7))*EXP(-(MOD((88/80*(60/C5)),(60/C5))-(60/C5*C9))/(C8*C7))*60)</f>
        <v/>
      </c>
      <c r="E117" s="26">
        <f>(IF(MOD((88/80*(60/C5)),(60/C5))&lt;(60/C5*C9),(C6+C4)*C7*(1-EXP(-MOD((88/80*(60/C5)),(60/C5))/(C8*C7))),((C6+C4)*C7*(1-EXP(-(60/C5*C9)/(C8*C7))))*EXP(-(MOD((88/80*(60/C5)),(60/C5))-(60/C5*C9))/(C8*C7))))*1000</f>
        <v/>
      </c>
      <c r="F117" s="25">
        <f>IF(AND(MOD((88/80*(60/C5)),(60/C5))&lt;(60/C5*C9),MOD((88/80*(60/C5)),(60/C5))&lt;C12),-ABS(C11)*SIN(PI()*MOD((88/80*(60/C5)),(60/C5))/C12),0)</f>
        <v/>
      </c>
      <c r="G117" s="25">
        <f>C6*(C10/(C7+C10))+(E117/1000)/C10+F117</f>
        <v/>
      </c>
      <c r="H117" s="25">
        <f>C117-G117</f>
        <v/>
      </c>
      <c r="I117" s="25">
        <f>C6+(E117/1000)/C7</f>
        <v/>
      </c>
    </row>
    <row r="118" ht="12.95" customHeight="1" s="44">
      <c r="B118" s="27">
        <f>(89/80*(60/C5))</f>
        <v/>
      </c>
      <c r="C118" s="27">
        <f>IF(MOD((89/80*(60/C5)),(60/C5))&lt;(60/C5*C9),C6+C4,C6)</f>
        <v/>
      </c>
      <c r="D118" s="27">
        <f>IF(MOD((89/80*(60/C5)),(60/C5))&lt;(60/C5*C9),((C6+C4)/C8)*EXP(-MOD((89/80*(60/C5)),(60/C5))/(C8*C7))*60,-(((C6+C4)*C7*(1-EXP(-(60/C5*C9)/(C8*C7))))/(C8*C7))*EXP(-(MOD((89/80*(60/C5)),(60/C5))-(60/C5*C9))/(C8*C7))*60)</f>
        <v/>
      </c>
      <c r="E118" s="28">
        <f>(IF(MOD((89/80*(60/C5)),(60/C5))&lt;(60/C5*C9),(C6+C4)*C7*(1-EXP(-MOD((89/80*(60/C5)),(60/C5))/(C8*C7))),((C6+C4)*C7*(1-EXP(-(60/C5*C9)/(C8*C7))))*EXP(-(MOD((89/80*(60/C5)),(60/C5))-(60/C5*C9))/(C8*C7))))*1000</f>
        <v/>
      </c>
      <c r="F118" s="27">
        <f>IF(AND(MOD((89/80*(60/C5)),(60/C5))&lt;(60/C5*C9),MOD((89/80*(60/C5)),(60/C5))&lt;C12),-ABS(C11)*SIN(PI()*MOD((89/80*(60/C5)),(60/C5))/C12),0)</f>
        <v/>
      </c>
      <c r="G118" s="27">
        <f>C6*(C10/(C7+C10))+(E118/1000)/C10+F118</f>
        <v/>
      </c>
      <c r="H118" s="27">
        <f>C118-G118</f>
        <v/>
      </c>
      <c r="I118" s="27">
        <f>C6+(E118/1000)/C7</f>
        <v/>
      </c>
    </row>
    <row r="119" ht="12.95" customHeight="1" s="44">
      <c r="B119" s="25">
        <f>(90/80*(60/C5))</f>
        <v/>
      </c>
      <c r="C119" s="25">
        <f>IF(MOD((90/80*(60/C5)),(60/C5))&lt;(60/C5*C9),C6+C4,C6)</f>
        <v/>
      </c>
      <c r="D119" s="25">
        <f>IF(MOD((90/80*(60/C5)),(60/C5))&lt;(60/C5*C9),((C6+C4)/C8)*EXP(-MOD((90/80*(60/C5)),(60/C5))/(C8*C7))*60,-(((C6+C4)*C7*(1-EXP(-(60/C5*C9)/(C8*C7))))/(C8*C7))*EXP(-(MOD((90/80*(60/C5)),(60/C5))-(60/C5*C9))/(C8*C7))*60)</f>
        <v/>
      </c>
      <c r="E119" s="26">
        <f>(IF(MOD((90/80*(60/C5)),(60/C5))&lt;(60/C5*C9),(C6+C4)*C7*(1-EXP(-MOD((90/80*(60/C5)),(60/C5))/(C8*C7))),((C6+C4)*C7*(1-EXP(-(60/C5*C9)/(C8*C7))))*EXP(-(MOD((90/80*(60/C5)),(60/C5))-(60/C5*C9))/(C8*C7))))*1000</f>
        <v/>
      </c>
      <c r="F119" s="25">
        <f>IF(AND(MOD((90/80*(60/C5)),(60/C5))&lt;(60/C5*C9),MOD((90/80*(60/C5)),(60/C5))&lt;C12),-ABS(C11)*SIN(PI()*MOD((90/80*(60/C5)),(60/C5))/C12),0)</f>
        <v/>
      </c>
      <c r="G119" s="25">
        <f>C6*(C10/(C7+C10))+(E119/1000)/C10+F119</f>
        <v/>
      </c>
      <c r="H119" s="25">
        <f>C119-G119</f>
        <v/>
      </c>
      <c r="I119" s="25">
        <f>C6+(E119/1000)/C7</f>
        <v/>
      </c>
    </row>
    <row r="120" ht="12.95" customHeight="1" s="44">
      <c r="B120" s="27">
        <f>(91/80*(60/C5))</f>
        <v/>
      </c>
      <c r="C120" s="27">
        <f>IF(MOD((91/80*(60/C5)),(60/C5))&lt;(60/C5*C9),C6+C4,C6)</f>
        <v/>
      </c>
      <c r="D120" s="27">
        <f>IF(MOD((91/80*(60/C5)),(60/C5))&lt;(60/C5*C9),((C6+C4)/C8)*EXP(-MOD((91/80*(60/C5)),(60/C5))/(C8*C7))*60,-(((C6+C4)*C7*(1-EXP(-(60/C5*C9)/(C8*C7))))/(C8*C7))*EXP(-(MOD((91/80*(60/C5)),(60/C5))-(60/C5*C9))/(C8*C7))*60)</f>
        <v/>
      </c>
      <c r="E120" s="28">
        <f>(IF(MOD((91/80*(60/C5)),(60/C5))&lt;(60/C5*C9),(C6+C4)*C7*(1-EXP(-MOD((91/80*(60/C5)),(60/C5))/(C8*C7))),((C6+C4)*C7*(1-EXP(-(60/C5*C9)/(C8*C7))))*EXP(-(MOD((91/80*(60/C5)),(60/C5))-(60/C5*C9))/(C8*C7))))*1000</f>
        <v/>
      </c>
      <c r="F120" s="27">
        <f>IF(AND(MOD((91/80*(60/C5)),(60/C5))&lt;(60/C5*C9),MOD((91/80*(60/C5)),(60/C5))&lt;C12),-ABS(C11)*SIN(PI()*MOD((91/80*(60/C5)),(60/C5))/C12),0)</f>
        <v/>
      </c>
      <c r="G120" s="27">
        <f>C6*(C10/(C7+C10))+(E120/1000)/C10+F120</f>
        <v/>
      </c>
      <c r="H120" s="27">
        <f>C120-G120</f>
        <v/>
      </c>
      <c r="I120" s="27">
        <f>C6+(E120/1000)/C7</f>
        <v/>
      </c>
    </row>
    <row r="121" ht="12.95" customHeight="1" s="44">
      <c r="B121" s="25">
        <f>(92/80*(60/C5))</f>
        <v/>
      </c>
      <c r="C121" s="25">
        <f>IF(MOD((92/80*(60/C5)),(60/C5))&lt;(60/C5*C9),C6+C4,C6)</f>
        <v/>
      </c>
      <c r="D121" s="25">
        <f>IF(MOD((92/80*(60/C5)),(60/C5))&lt;(60/C5*C9),((C6+C4)/C8)*EXP(-MOD((92/80*(60/C5)),(60/C5))/(C8*C7))*60,-(((C6+C4)*C7*(1-EXP(-(60/C5*C9)/(C8*C7))))/(C8*C7))*EXP(-(MOD((92/80*(60/C5)),(60/C5))-(60/C5*C9))/(C8*C7))*60)</f>
        <v/>
      </c>
      <c r="E121" s="26">
        <f>(IF(MOD((92/80*(60/C5)),(60/C5))&lt;(60/C5*C9),(C6+C4)*C7*(1-EXP(-MOD((92/80*(60/C5)),(60/C5))/(C8*C7))),((C6+C4)*C7*(1-EXP(-(60/C5*C9)/(C8*C7))))*EXP(-(MOD((92/80*(60/C5)),(60/C5))-(60/C5*C9))/(C8*C7))))*1000</f>
        <v/>
      </c>
      <c r="F121" s="25">
        <f>IF(AND(MOD((92/80*(60/C5)),(60/C5))&lt;(60/C5*C9),MOD((92/80*(60/C5)),(60/C5))&lt;C12),-ABS(C11)*SIN(PI()*MOD((92/80*(60/C5)),(60/C5))/C12),0)</f>
        <v/>
      </c>
      <c r="G121" s="25">
        <f>C6*(C10/(C7+C10))+(E121/1000)/C10+F121</f>
        <v/>
      </c>
      <c r="H121" s="25">
        <f>C121-G121</f>
        <v/>
      </c>
      <c r="I121" s="25">
        <f>C6+(E121/1000)/C7</f>
        <v/>
      </c>
    </row>
    <row r="122" ht="12.95" customHeight="1" s="44">
      <c r="B122" s="27">
        <f>(93/80*(60/C5))</f>
        <v/>
      </c>
      <c r="C122" s="27">
        <f>IF(MOD((93/80*(60/C5)),(60/C5))&lt;(60/C5*C9),C6+C4,C6)</f>
        <v/>
      </c>
      <c r="D122" s="27">
        <f>IF(MOD((93/80*(60/C5)),(60/C5))&lt;(60/C5*C9),((C6+C4)/C8)*EXP(-MOD((93/80*(60/C5)),(60/C5))/(C8*C7))*60,-(((C6+C4)*C7*(1-EXP(-(60/C5*C9)/(C8*C7))))/(C8*C7))*EXP(-(MOD((93/80*(60/C5)),(60/C5))-(60/C5*C9))/(C8*C7))*60)</f>
        <v/>
      </c>
      <c r="E122" s="28">
        <f>(IF(MOD((93/80*(60/C5)),(60/C5))&lt;(60/C5*C9),(C6+C4)*C7*(1-EXP(-MOD((93/80*(60/C5)),(60/C5))/(C8*C7))),((C6+C4)*C7*(1-EXP(-(60/C5*C9)/(C8*C7))))*EXP(-(MOD((93/80*(60/C5)),(60/C5))-(60/C5*C9))/(C8*C7))))*1000</f>
        <v/>
      </c>
      <c r="F122" s="27">
        <f>IF(AND(MOD((93/80*(60/C5)),(60/C5))&lt;(60/C5*C9),MOD((93/80*(60/C5)),(60/C5))&lt;C12),-ABS(C11)*SIN(PI()*MOD((93/80*(60/C5)),(60/C5))/C12),0)</f>
        <v/>
      </c>
      <c r="G122" s="27">
        <f>C6*(C10/(C7+C10))+(E122/1000)/C10+F122</f>
        <v/>
      </c>
      <c r="H122" s="27">
        <f>C122-G122</f>
        <v/>
      </c>
      <c r="I122" s="27">
        <f>C6+(E122/1000)/C7</f>
        <v/>
      </c>
    </row>
    <row r="123" ht="12.95" customHeight="1" s="44">
      <c r="B123" s="25">
        <f>(94/80*(60/C5))</f>
        <v/>
      </c>
      <c r="C123" s="25">
        <f>IF(MOD((94/80*(60/C5)),(60/C5))&lt;(60/C5*C9),C6+C4,C6)</f>
        <v/>
      </c>
      <c r="D123" s="25">
        <f>IF(MOD((94/80*(60/C5)),(60/C5))&lt;(60/C5*C9),((C6+C4)/C8)*EXP(-MOD((94/80*(60/C5)),(60/C5))/(C8*C7))*60,-(((C6+C4)*C7*(1-EXP(-(60/C5*C9)/(C8*C7))))/(C8*C7))*EXP(-(MOD((94/80*(60/C5)),(60/C5))-(60/C5*C9))/(C8*C7))*60)</f>
        <v/>
      </c>
      <c r="E123" s="26">
        <f>(IF(MOD((94/80*(60/C5)),(60/C5))&lt;(60/C5*C9),(C6+C4)*C7*(1-EXP(-MOD((94/80*(60/C5)),(60/C5))/(C8*C7))),((C6+C4)*C7*(1-EXP(-(60/C5*C9)/(C8*C7))))*EXP(-(MOD((94/80*(60/C5)),(60/C5))-(60/C5*C9))/(C8*C7))))*1000</f>
        <v/>
      </c>
      <c r="F123" s="25">
        <f>IF(AND(MOD((94/80*(60/C5)),(60/C5))&lt;(60/C5*C9),MOD((94/80*(60/C5)),(60/C5))&lt;C12),-ABS(C11)*SIN(PI()*MOD((94/80*(60/C5)),(60/C5))/C12),0)</f>
        <v/>
      </c>
      <c r="G123" s="25">
        <f>C6*(C10/(C7+C10))+(E123/1000)/C10+F123</f>
        <v/>
      </c>
      <c r="H123" s="25">
        <f>C123-G123</f>
        <v/>
      </c>
      <c r="I123" s="25">
        <f>C6+(E123/1000)/C7</f>
        <v/>
      </c>
    </row>
    <row r="124" ht="12.95" customHeight="1" s="44">
      <c r="B124" s="27">
        <f>(95/80*(60/C5))</f>
        <v/>
      </c>
      <c r="C124" s="27">
        <f>IF(MOD((95/80*(60/C5)),(60/C5))&lt;(60/C5*C9),C6+C4,C6)</f>
        <v/>
      </c>
      <c r="D124" s="27">
        <f>IF(MOD((95/80*(60/C5)),(60/C5))&lt;(60/C5*C9),((C6+C4)/C8)*EXP(-MOD((95/80*(60/C5)),(60/C5))/(C8*C7))*60,-(((C6+C4)*C7*(1-EXP(-(60/C5*C9)/(C8*C7))))/(C8*C7))*EXP(-(MOD((95/80*(60/C5)),(60/C5))-(60/C5*C9))/(C8*C7))*60)</f>
        <v/>
      </c>
      <c r="E124" s="28">
        <f>(IF(MOD((95/80*(60/C5)),(60/C5))&lt;(60/C5*C9),(C6+C4)*C7*(1-EXP(-MOD((95/80*(60/C5)),(60/C5))/(C8*C7))),((C6+C4)*C7*(1-EXP(-(60/C5*C9)/(C8*C7))))*EXP(-(MOD((95/80*(60/C5)),(60/C5))-(60/C5*C9))/(C8*C7))))*1000</f>
        <v/>
      </c>
      <c r="F124" s="27">
        <f>IF(AND(MOD((95/80*(60/C5)),(60/C5))&lt;(60/C5*C9),MOD((95/80*(60/C5)),(60/C5))&lt;C12),-ABS(C11)*SIN(PI()*MOD((95/80*(60/C5)),(60/C5))/C12),0)</f>
        <v/>
      </c>
      <c r="G124" s="27">
        <f>C6*(C10/(C7+C10))+(E124/1000)/C10+F124</f>
        <v/>
      </c>
      <c r="H124" s="27">
        <f>C124-G124</f>
        <v/>
      </c>
      <c r="I124" s="27">
        <f>C6+(E124/1000)/C7</f>
        <v/>
      </c>
    </row>
    <row r="125" ht="12.95" customHeight="1" s="44">
      <c r="B125" s="25">
        <f>(96/80*(60/C5))</f>
        <v/>
      </c>
      <c r="C125" s="25">
        <f>IF(MOD((96/80*(60/C5)),(60/C5))&lt;(60/C5*C9),C6+C4,C6)</f>
        <v/>
      </c>
      <c r="D125" s="25">
        <f>IF(MOD((96/80*(60/C5)),(60/C5))&lt;(60/C5*C9),((C6+C4)/C8)*EXP(-MOD((96/80*(60/C5)),(60/C5))/(C8*C7))*60,-(((C6+C4)*C7*(1-EXP(-(60/C5*C9)/(C8*C7))))/(C8*C7))*EXP(-(MOD((96/80*(60/C5)),(60/C5))-(60/C5*C9))/(C8*C7))*60)</f>
        <v/>
      </c>
      <c r="E125" s="26">
        <f>(IF(MOD((96/80*(60/C5)),(60/C5))&lt;(60/C5*C9),(C6+C4)*C7*(1-EXP(-MOD((96/80*(60/C5)),(60/C5))/(C8*C7))),((C6+C4)*C7*(1-EXP(-(60/C5*C9)/(C8*C7))))*EXP(-(MOD((96/80*(60/C5)),(60/C5))-(60/C5*C9))/(C8*C7))))*1000</f>
        <v/>
      </c>
      <c r="F125" s="25">
        <f>IF(AND(MOD((96/80*(60/C5)),(60/C5))&lt;(60/C5*C9),MOD((96/80*(60/C5)),(60/C5))&lt;C12),-ABS(C11)*SIN(PI()*MOD((96/80*(60/C5)),(60/C5))/C12),0)</f>
        <v/>
      </c>
      <c r="G125" s="25">
        <f>C6*(C10/(C7+C10))+(E125/1000)/C10+F125</f>
        <v/>
      </c>
      <c r="H125" s="25">
        <f>C125-G125</f>
        <v/>
      </c>
      <c r="I125" s="25">
        <f>C6+(E125/1000)/C7</f>
        <v/>
      </c>
    </row>
    <row r="126" ht="12.95" customHeight="1" s="44">
      <c r="B126" s="27">
        <f>(97/80*(60/C5))</f>
        <v/>
      </c>
      <c r="C126" s="27">
        <f>IF(MOD((97/80*(60/C5)),(60/C5))&lt;(60/C5*C9),C6+C4,C6)</f>
        <v/>
      </c>
      <c r="D126" s="27">
        <f>IF(MOD((97/80*(60/C5)),(60/C5))&lt;(60/C5*C9),((C6+C4)/C8)*EXP(-MOD((97/80*(60/C5)),(60/C5))/(C8*C7))*60,-(((C6+C4)*C7*(1-EXP(-(60/C5*C9)/(C8*C7))))/(C8*C7))*EXP(-(MOD((97/80*(60/C5)),(60/C5))-(60/C5*C9))/(C8*C7))*60)</f>
        <v/>
      </c>
      <c r="E126" s="28">
        <f>(IF(MOD((97/80*(60/C5)),(60/C5))&lt;(60/C5*C9),(C6+C4)*C7*(1-EXP(-MOD((97/80*(60/C5)),(60/C5))/(C8*C7))),((C6+C4)*C7*(1-EXP(-(60/C5*C9)/(C8*C7))))*EXP(-(MOD((97/80*(60/C5)),(60/C5))-(60/C5*C9))/(C8*C7))))*1000</f>
        <v/>
      </c>
      <c r="F126" s="27">
        <f>IF(AND(MOD((97/80*(60/C5)),(60/C5))&lt;(60/C5*C9),MOD((97/80*(60/C5)),(60/C5))&lt;C12),-ABS(C11)*SIN(PI()*MOD((97/80*(60/C5)),(60/C5))/C12),0)</f>
        <v/>
      </c>
      <c r="G126" s="27">
        <f>C6*(C10/(C7+C10))+(E126/1000)/C10+F126</f>
        <v/>
      </c>
      <c r="H126" s="27">
        <f>C126-G126</f>
        <v/>
      </c>
      <c r="I126" s="27">
        <f>C6+(E126/1000)/C7</f>
        <v/>
      </c>
    </row>
    <row r="127" ht="12.95" customHeight="1" s="44">
      <c r="B127" s="25">
        <f>(98/80*(60/C5))</f>
        <v/>
      </c>
      <c r="C127" s="25">
        <f>IF(MOD((98/80*(60/C5)),(60/C5))&lt;(60/C5*C9),C6+C4,C6)</f>
        <v/>
      </c>
      <c r="D127" s="25">
        <f>IF(MOD((98/80*(60/C5)),(60/C5))&lt;(60/C5*C9),((C6+C4)/C8)*EXP(-MOD((98/80*(60/C5)),(60/C5))/(C8*C7))*60,-(((C6+C4)*C7*(1-EXP(-(60/C5*C9)/(C8*C7))))/(C8*C7))*EXP(-(MOD((98/80*(60/C5)),(60/C5))-(60/C5*C9))/(C8*C7))*60)</f>
        <v/>
      </c>
      <c r="E127" s="26">
        <f>(IF(MOD((98/80*(60/C5)),(60/C5))&lt;(60/C5*C9),(C6+C4)*C7*(1-EXP(-MOD((98/80*(60/C5)),(60/C5))/(C8*C7))),((C6+C4)*C7*(1-EXP(-(60/C5*C9)/(C8*C7))))*EXP(-(MOD((98/80*(60/C5)),(60/C5))-(60/C5*C9))/(C8*C7))))*1000</f>
        <v/>
      </c>
      <c r="F127" s="25">
        <f>IF(AND(MOD((98/80*(60/C5)),(60/C5))&lt;(60/C5*C9),MOD((98/80*(60/C5)),(60/C5))&lt;C12),-ABS(C11)*SIN(PI()*MOD((98/80*(60/C5)),(60/C5))/C12),0)</f>
        <v/>
      </c>
      <c r="G127" s="25">
        <f>C6*(C10/(C7+C10))+(E127/1000)/C10+F127</f>
        <v/>
      </c>
      <c r="H127" s="25">
        <f>C127-G127</f>
        <v/>
      </c>
      <c r="I127" s="25">
        <f>C6+(E127/1000)/C7</f>
        <v/>
      </c>
    </row>
    <row r="128" ht="12.95" customHeight="1" s="44">
      <c r="B128" s="27">
        <f>(99/80*(60/C5))</f>
        <v/>
      </c>
      <c r="C128" s="27">
        <f>IF(MOD((99/80*(60/C5)),(60/C5))&lt;(60/C5*C9),C6+C4,C6)</f>
        <v/>
      </c>
      <c r="D128" s="27">
        <f>IF(MOD((99/80*(60/C5)),(60/C5))&lt;(60/C5*C9),((C6+C4)/C8)*EXP(-MOD((99/80*(60/C5)),(60/C5))/(C8*C7))*60,-(((C6+C4)*C7*(1-EXP(-(60/C5*C9)/(C8*C7))))/(C8*C7))*EXP(-(MOD((99/80*(60/C5)),(60/C5))-(60/C5*C9))/(C8*C7))*60)</f>
        <v/>
      </c>
      <c r="E128" s="28">
        <f>(IF(MOD((99/80*(60/C5)),(60/C5))&lt;(60/C5*C9),(C6+C4)*C7*(1-EXP(-MOD((99/80*(60/C5)),(60/C5))/(C8*C7))),((C6+C4)*C7*(1-EXP(-(60/C5*C9)/(C8*C7))))*EXP(-(MOD((99/80*(60/C5)),(60/C5))-(60/C5*C9))/(C8*C7))))*1000</f>
        <v/>
      </c>
      <c r="F128" s="27">
        <f>IF(AND(MOD((99/80*(60/C5)),(60/C5))&lt;(60/C5*C9),MOD((99/80*(60/C5)),(60/C5))&lt;C12),-ABS(C11)*SIN(PI()*MOD((99/80*(60/C5)),(60/C5))/C12),0)</f>
        <v/>
      </c>
      <c r="G128" s="27">
        <f>C6*(C10/(C7+C10))+(E128/1000)/C10+F128</f>
        <v/>
      </c>
      <c r="H128" s="27">
        <f>C128-G128</f>
        <v/>
      </c>
      <c r="I128" s="27">
        <f>C6+(E128/1000)/C7</f>
        <v/>
      </c>
    </row>
    <row r="129" ht="12.95" customHeight="1" s="44">
      <c r="B129" s="25">
        <f>(100/80*(60/C5))</f>
        <v/>
      </c>
      <c r="C129" s="25">
        <f>IF(MOD((100/80*(60/C5)),(60/C5))&lt;(60/C5*C9),C6+C4,C6)</f>
        <v/>
      </c>
      <c r="D129" s="25">
        <f>IF(MOD((100/80*(60/C5)),(60/C5))&lt;(60/C5*C9),((C6+C4)/C8)*EXP(-MOD((100/80*(60/C5)),(60/C5))/(C8*C7))*60,-(((C6+C4)*C7*(1-EXP(-(60/C5*C9)/(C8*C7))))/(C8*C7))*EXP(-(MOD((100/80*(60/C5)),(60/C5))-(60/C5*C9))/(C8*C7))*60)</f>
        <v/>
      </c>
      <c r="E129" s="26">
        <f>(IF(MOD((100/80*(60/C5)),(60/C5))&lt;(60/C5*C9),(C6+C4)*C7*(1-EXP(-MOD((100/80*(60/C5)),(60/C5))/(C8*C7))),((C6+C4)*C7*(1-EXP(-(60/C5*C9)/(C8*C7))))*EXP(-(MOD((100/80*(60/C5)),(60/C5))-(60/C5*C9))/(C8*C7))))*1000</f>
        <v/>
      </c>
      <c r="F129" s="25">
        <f>IF(AND(MOD((100/80*(60/C5)),(60/C5))&lt;(60/C5*C9),MOD((100/80*(60/C5)),(60/C5))&lt;C12),-ABS(C11)*SIN(PI()*MOD((100/80*(60/C5)),(60/C5))/C12),0)</f>
        <v/>
      </c>
      <c r="G129" s="25">
        <f>C6*(C10/(C7+C10))+(E129/1000)/C10+F129</f>
        <v/>
      </c>
      <c r="H129" s="25">
        <f>C129-G129</f>
        <v/>
      </c>
      <c r="I129" s="25">
        <f>C6+(E129/1000)/C7</f>
        <v/>
      </c>
    </row>
    <row r="130" ht="12.95" customHeight="1" s="44">
      <c r="B130" s="27">
        <f>(101/80*(60/C5))</f>
        <v/>
      </c>
      <c r="C130" s="27">
        <f>IF(MOD((101/80*(60/C5)),(60/C5))&lt;(60/C5*C9),C6+C4,C6)</f>
        <v/>
      </c>
      <c r="D130" s="27">
        <f>IF(MOD((101/80*(60/C5)),(60/C5))&lt;(60/C5*C9),((C6+C4)/C8)*EXP(-MOD((101/80*(60/C5)),(60/C5))/(C8*C7))*60,-(((C6+C4)*C7*(1-EXP(-(60/C5*C9)/(C8*C7))))/(C8*C7))*EXP(-(MOD((101/80*(60/C5)),(60/C5))-(60/C5*C9))/(C8*C7))*60)</f>
        <v/>
      </c>
      <c r="E130" s="28">
        <f>(IF(MOD((101/80*(60/C5)),(60/C5))&lt;(60/C5*C9),(C6+C4)*C7*(1-EXP(-MOD((101/80*(60/C5)),(60/C5))/(C8*C7))),((C6+C4)*C7*(1-EXP(-(60/C5*C9)/(C8*C7))))*EXP(-(MOD((101/80*(60/C5)),(60/C5))-(60/C5*C9))/(C8*C7))))*1000</f>
        <v/>
      </c>
      <c r="F130" s="27">
        <f>IF(AND(MOD((101/80*(60/C5)),(60/C5))&lt;(60/C5*C9),MOD((101/80*(60/C5)),(60/C5))&lt;C12),-ABS(C11)*SIN(PI()*MOD((101/80*(60/C5)),(60/C5))/C12),0)</f>
        <v/>
      </c>
      <c r="G130" s="27">
        <f>C6*(C10/(C7+C10))+(E130/1000)/C10+F130</f>
        <v/>
      </c>
      <c r="H130" s="27">
        <f>C130-G130</f>
        <v/>
      </c>
      <c r="I130" s="27">
        <f>C6+(E130/1000)/C7</f>
        <v/>
      </c>
    </row>
    <row r="131" ht="12.95" customHeight="1" s="44">
      <c r="B131" s="25">
        <f>(102/80*(60/C5))</f>
        <v/>
      </c>
      <c r="C131" s="25">
        <f>IF(MOD((102/80*(60/C5)),(60/C5))&lt;(60/C5*C9),C6+C4,C6)</f>
        <v/>
      </c>
      <c r="D131" s="25">
        <f>IF(MOD((102/80*(60/C5)),(60/C5))&lt;(60/C5*C9),((C6+C4)/C8)*EXP(-MOD((102/80*(60/C5)),(60/C5))/(C8*C7))*60,-(((C6+C4)*C7*(1-EXP(-(60/C5*C9)/(C8*C7))))/(C8*C7))*EXP(-(MOD((102/80*(60/C5)),(60/C5))-(60/C5*C9))/(C8*C7))*60)</f>
        <v/>
      </c>
      <c r="E131" s="26">
        <f>(IF(MOD((102/80*(60/C5)),(60/C5))&lt;(60/C5*C9),(C6+C4)*C7*(1-EXP(-MOD((102/80*(60/C5)),(60/C5))/(C8*C7))),((C6+C4)*C7*(1-EXP(-(60/C5*C9)/(C8*C7))))*EXP(-(MOD((102/80*(60/C5)),(60/C5))-(60/C5*C9))/(C8*C7))))*1000</f>
        <v/>
      </c>
      <c r="F131" s="25">
        <f>IF(AND(MOD((102/80*(60/C5)),(60/C5))&lt;(60/C5*C9),MOD((102/80*(60/C5)),(60/C5))&lt;C12),-ABS(C11)*SIN(PI()*MOD((102/80*(60/C5)),(60/C5))/C12),0)</f>
        <v/>
      </c>
      <c r="G131" s="25">
        <f>C6*(C10/(C7+C10))+(E131/1000)/C10+F131</f>
        <v/>
      </c>
      <c r="H131" s="25">
        <f>C131-G131</f>
        <v/>
      </c>
      <c r="I131" s="25">
        <f>C6+(E131/1000)/C7</f>
        <v/>
      </c>
    </row>
    <row r="132" ht="12.95" customHeight="1" s="44">
      <c r="B132" s="27">
        <f>(103/80*(60/C5))</f>
        <v/>
      </c>
      <c r="C132" s="27">
        <f>IF(MOD((103/80*(60/C5)),(60/C5))&lt;(60/C5*C9),C6+C4,C6)</f>
        <v/>
      </c>
      <c r="D132" s="27">
        <f>IF(MOD((103/80*(60/C5)),(60/C5))&lt;(60/C5*C9),((C6+C4)/C8)*EXP(-MOD((103/80*(60/C5)),(60/C5))/(C8*C7))*60,-(((C6+C4)*C7*(1-EXP(-(60/C5*C9)/(C8*C7))))/(C8*C7))*EXP(-(MOD((103/80*(60/C5)),(60/C5))-(60/C5*C9))/(C8*C7))*60)</f>
        <v/>
      </c>
      <c r="E132" s="28">
        <f>(IF(MOD((103/80*(60/C5)),(60/C5))&lt;(60/C5*C9),(C6+C4)*C7*(1-EXP(-MOD((103/80*(60/C5)),(60/C5))/(C8*C7))),((C6+C4)*C7*(1-EXP(-(60/C5*C9)/(C8*C7))))*EXP(-(MOD((103/80*(60/C5)),(60/C5))-(60/C5*C9))/(C8*C7))))*1000</f>
        <v/>
      </c>
      <c r="F132" s="27">
        <f>IF(AND(MOD((103/80*(60/C5)),(60/C5))&lt;(60/C5*C9),MOD((103/80*(60/C5)),(60/C5))&lt;C12),-ABS(C11)*SIN(PI()*MOD((103/80*(60/C5)),(60/C5))/C12),0)</f>
        <v/>
      </c>
      <c r="G132" s="27">
        <f>C6*(C10/(C7+C10))+(E132/1000)/C10+F132</f>
        <v/>
      </c>
      <c r="H132" s="27">
        <f>C132-G132</f>
        <v/>
      </c>
      <c r="I132" s="27">
        <f>C6+(E132/1000)/C7</f>
        <v/>
      </c>
    </row>
    <row r="133" ht="12.95" customHeight="1" s="44">
      <c r="B133" s="25">
        <f>(104/80*(60/C5))</f>
        <v/>
      </c>
      <c r="C133" s="25">
        <f>IF(MOD((104/80*(60/C5)),(60/C5))&lt;(60/C5*C9),C6+C4,C6)</f>
        <v/>
      </c>
      <c r="D133" s="25">
        <f>IF(MOD((104/80*(60/C5)),(60/C5))&lt;(60/C5*C9),((C6+C4)/C8)*EXP(-MOD((104/80*(60/C5)),(60/C5))/(C8*C7))*60,-(((C6+C4)*C7*(1-EXP(-(60/C5*C9)/(C8*C7))))/(C8*C7))*EXP(-(MOD((104/80*(60/C5)),(60/C5))-(60/C5*C9))/(C8*C7))*60)</f>
        <v/>
      </c>
      <c r="E133" s="26">
        <f>(IF(MOD((104/80*(60/C5)),(60/C5))&lt;(60/C5*C9),(C6+C4)*C7*(1-EXP(-MOD((104/80*(60/C5)),(60/C5))/(C8*C7))),((C6+C4)*C7*(1-EXP(-(60/C5*C9)/(C8*C7))))*EXP(-(MOD((104/80*(60/C5)),(60/C5))-(60/C5*C9))/(C8*C7))))*1000</f>
        <v/>
      </c>
      <c r="F133" s="25">
        <f>IF(AND(MOD((104/80*(60/C5)),(60/C5))&lt;(60/C5*C9),MOD((104/80*(60/C5)),(60/C5))&lt;C12),-ABS(C11)*SIN(PI()*MOD((104/80*(60/C5)),(60/C5))/C12),0)</f>
        <v/>
      </c>
      <c r="G133" s="25">
        <f>C6*(C10/(C7+C10))+(E133/1000)/C10+F133</f>
        <v/>
      </c>
      <c r="H133" s="25">
        <f>C133-G133</f>
        <v/>
      </c>
      <c r="I133" s="25">
        <f>C6+(E133/1000)/C7</f>
        <v/>
      </c>
    </row>
    <row r="134" ht="12.95" customHeight="1" s="44">
      <c r="B134" s="27">
        <f>(105/80*(60/C5))</f>
        <v/>
      </c>
      <c r="C134" s="27">
        <f>IF(MOD((105/80*(60/C5)),(60/C5))&lt;(60/C5*C9),C6+C4,C6)</f>
        <v/>
      </c>
      <c r="D134" s="27">
        <f>IF(MOD((105/80*(60/C5)),(60/C5))&lt;(60/C5*C9),((C6+C4)/C8)*EXP(-MOD((105/80*(60/C5)),(60/C5))/(C8*C7))*60,-(((C6+C4)*C7*(1-EXP(-(60/C5*C9)/(C8*C7))))/(C8*C7))*EXP(-(MOD((105/80*(60/C5)),(60/C5))-(60/C5*C9))/(C8*C7))*60)</f>
        <v/>
      </c>
      <c r="E134" s="28">
        <f>(IF(MOD((105/80*(60/C5)),(60/C5))&lt;(60/C5*C9),(C6+C4)*C7*(1-EXP(-MOD((105/80*(60/C5)),(60/C5))/(C8*C7))),((C6+C4)*C7*(1-EXP(-(60/C5*C9)/(C8*C7))))*EXP(-(MOD((105/80*(60/C5)),(60/C5))-(60/C5*C9))/(C8*C7))))*1000</f>
        <v/>
      </c>
      <c r="F134" s="27">
        <f>IF(AND(MOD((105/80*(60/C5)),(60/C5))&lt;(60/C5*C9),MOD((105/80*(60/C5)),(60/C5))&lt;C12),-ABS(C11)*SIN(PI()*MOD((105/80*(60/C5)),(60/C5))/C12),0)</f>
        <v/>
      </c>
      <c r="G134" s="27">
        <f>C6*(C10/(C7+C10))+(E134/1000)/C10+F134</f>
        <v/>
      </c>
      <c r="H134" s="27">
        <f>C134-G134</f>
        <v/>
      </c>
      <c r="I134" s="27">
        <f>C6+(E134/1000)/C7</f>
        <v/>
      </c>
    </row>
    <row r="135" ht="12.95" customHeight="1" s="44">
      <c r="B135" s="25">
        <f>(106/80*(60/C5))</f>
        <v/>
      </c>
      <c r="C135" s="25">
        <f>IF(MOD((106/80*(60/C5)),(60/C5))&lt;(60/C5*C9),C6+C4,C6)</f>
        <v/>
      </c>
      <c r="D135" s="25">
        <f>IF(MOD((106/80*(60/C5)),(60/C5))&lt;(60/C5*C9),((C6+C4)/C8)*EXP(-MOD((106/80*(60/C5)),(60/C5))/(C8*C7))*60,-(((C6+C4)*C7*(1-EXP(-(60/C5*C9)/(C8*C7))))/(C8*C7))*EXP(-(MOD((106/80*(60/C5)),(60/C5))-(60/C5*C9))/(C8*C7))*60)</f>
        <v/>
      </c>
      <c r="E135" s="26">
        <f>(IF(MOD((106/80*(60/C5)),(60/C5))&lt;(60/C5*C9),(C6+C4)*C7*(1-EXP(-MOD((106/80*(60/C5)),(60/C5))/(C8*C7))),((C6+C4)*C7*(1-EXP(-(60/C5*C9)/(C8*C7))))*EXP(-(MOD((106/80*(60/C5)),(60/C5))-(60/C5*C9))/(C8*C7))))*1000</f>
        <v/>
      </c>
      <c r="F135" s="25">
        <f>IF(AND(MOD((106/80*(60/C5)),(60/C5))&lt;(60/C5*C9),MOD((106/80*(60/C5)),(60/C5))&lt;C12),-ABS(C11)*SIN(PI()*MOD((106/80*(60/C5)),(60/C5))/C12),0)</f>
        <v/>
      </c>
      <c r="G135" s="25">
        <f>C6*(C10/(C7+C10))+(E135/1000)/C10+F135</f>
        <v/>
      </c>
      <c r="H135" s="25">
        <f>C135-G135</f>
        <v/>
      </c>
      <c r="I135" s="25">
        <f>C6+(E135/1000)/C7</f>
        <v/>
      </c>
    </row>
    <row r="136" ht="12.95" customHeight="1" s="44">
      <c r="B136" s="27">
        <f>(107/80*(60/C5))</f>
        <v/>
      </c>
      <c r="C136" s="27">
        <f>IF(MOD((107/80*(60/C5)),(60/C5))&lt;(60/C5*C9),C6+C4,C6)</f>
        <v/>
      </c>
      <c r="D136" s="27">
        <f>IF(MOD((107/80*(60/C5)),(60/C5))&lt;(60/C5*C9),((C6+C4)/C8)*EXP(-MOD((107/80*(60/C5)),(60/C5))/(C8*C7))*60,-(((C6+C4)*C7*(1-EXP(-(60/C5*C9)/(C8*C7))))/(C8*C7))*EXP(-(MOD((107/80*(60/C5)),(60/C5))-(60/C5*C9))/(C8*C7))*60)</f>
        <v/>
      </c>
      <c r="E136" s="28">
        <f>(IF(MOD((107/80*(60/C5)),(60/C5))&lt;(60/C5*C9),(C6+C4)*C7*(1-EXP(-MOD((107/80*(60/C5)),(60/C5))/(C8*C7))),((C6+C4)*C7*(1-EXP(-(60/C5*C9)/(C8*C7))))*EXP(-(MOD((107/80*(60/C5)),(60/C5))-(60/C5*C9))/(C8*C7))))*1000</f>
        <v/>
      </c>
      <c r="F136" s="27">
        <f>IF(AND(MOD((107/80*(60/C5)),(60/C5))&lt;(60/C5*C9),MOD((107/80*(60/C5)),(60/C5))&lt;C12),-ABS(C11)*SIN(PI()*MOD((107/80*(60/C5)),(60/C5))/C12),0)</f>
        <v/>
      </c>
      <c r="G136" s="27">
        <f>C6*(C10/(C7+C10))+(E136/1000)/C10+F136</f>
        <v/>
      </c>
      <c r="H136" s="27">
        <f>C136-G136</f>
        <v/>
      </c>
      <c r="I136" s="27">
        <f>C6+(E136/1000)/C7</f>
        <v/>
      </c>
    </row>
    <row r="137" ht="12.95" customHeight="1" s="44">
      <c r="B137" s="25">
        <f>(108/80*(60/C5))</f>
        <v/>
      </c>
      <c r="C137" s="25">
        <f>IF(MOD((108/80*(60/C5)),(60/C5))&lt;(60/C5*C9),C6+C4,C6)</f>
        <v/>
      </c>
      <c r="D137" s="25">
        <f>IF(MOD((108/80*(60/C5)),(60/C5))&lt;(60/C5*C9),((C6+C4)/C8)*EXP(-MOD((108/80*(60/C5)),(60/C5))/(C8*C7))*60,-(((C6+C4)*C7*(1-EXP(-(60/C5*C9)/(C8*C7))))/(C8*C7))*EXP(-(MOD((108/80*(60/C5)),(60/C5))-(60/C5*C9))/(C8*C7))*60)</f>
        <v/>
      </c>
      <c r="E137" s="26">
        <f>(IF(MOD((108/80*(60/C5)),(60/C5))&lt;(60/C5*C9),(C6+C4)*C7*(1-EXP(-MOD((108/80*(60/C5)),(60/C5))/(C8*C7))),((C6+C4)*C7*(1-EXP(-(60/C5*C9)/(C8*C7))))*EXP(-(MOD((108/80*(60/C5)),(60/C5))-(60/C5*C9))/(C8*C7))))*1000</f>
        <v/>
      </c>
      <c r="F137" s="25">
        <f>IF(AND(MOD((108/80*(60/C5)),(60/C5))&lt;(60/C5*C9),MOD((108/80*(60/C5)),(60/C5))&lt;C12),-ABS(C11)*SIN(PI()*MOD((108/80*(60/C5)),(60/C5))/C12),0)</f>
        <v/>
      </c>
      <c r="G137" s="25">
        <f>C6*(C10/(C7+C10))+(E137/1000)/C10+F137</f>
        <v/>
      </c>
      <c r="H137" s="25">
        <f>C137-G137</f>
        <v/>
      </c>
      <c r="I137" s="25">
        <f>C6+(E137/1000)/C7</f>
        <v/>
      </c>
    </row>
    <row r="138" ht="12.95" customHeight="1" s="44">
      <c r="B138" s="27">
        <f>(109/80*(60/C5))</f>
        <v/>
      </c>
      <c r="C138" s="27">
        <f>IF(MOD((109/80*(60/C5)),(60/C5))&lt;(60/C5*C9),C6+C4,C6)</f>
        <v/>
      </c>
      <c r="D138" s="27">
        <f>IF(MOD((109/80*(60/C5)),(60/C5))&lt;(60/C5*C9),((C6+C4)/C8)*EXP(-MOD((109/80*(60/C5)),(60/C5))/(C8*C7))*60,-(((C6+C4)*C7*(1-EXP(-(60/C5*C9)/(C8*C7))))/(C8*C7))*EXP(-(MOD((109/80*(60/C5)),(60/C5))-(60/C5*C9))/(C8*C7))*60)</f>
        <v/>
      </c>
      <c r="E138" s="28">
        <f>(IF(MOD((109/80*(60/C5)),(60/C5))&lt;(60/C5*C9),(C6+C4)*C7*(1-EXP(-MOD((109/80*(60/C5)),(60/C5))/(C8*C7))),((C6+C4)*C7*(1-EXP(-(60/C5*C9)/(C8*C7))))*EXP(-(MOD((109/80*(60/C5)),(60/C5))-(60/C5*C9))/(C8*C7))))*1000</f>
        <v/>
      </c>
      <c r="F138" s="27">
        <f>IF(AND(MOD((109/80*(60/C5)),(60/C5))&lt;(60/C5*C9),MOD((109/80*(60/C5)),(60/C5))&lt;C12),-ABS(C11)*SIN(PI()*MOD((109/80*(60/C5)),(60/C5))/C12),0)</f>
        <v/>
      </c>
      <c r="G138" s="27">
        <f>C6*(C10/(C7+C10))+(E138/1000)/C10+F138</f>
        <v/>
      </c>
      <c r="H138" s="27">
        <f>C138-G138</f>
        <v/>
      </c>
      <c r="I138" s="27">
        <f>C6+(E138/1000)/C7</f>
        <v/>
      </c>
    </row>
    <row r="139" ht="12.95" customHeight="1" s="44">
      <c r="B139" s="25">
        <f>(110/80*(60/C5))</f>
        <v/>
      </c>
      <c r="C139" s="25">
        <f>IF(MOD((110/80*(60/C5)),(60/C5))&lt;(60/C5*C9),C6+C4,C6)</f>
        <v/>
      </c>
      <c r="D139" s="25">
        <f>IF(MOD((110/80*(60/C5)),(60/C5))&lt;(60/C5*C9),((C6+C4)/C8)*EXP(-MOD((110/80*(60/C5)),(60/C5))/(C8*C7))*60,-(((C6+C4)*C7*(1-EXP(-(60/C5*C9)/(C8*C7))))/(C8*C7))*EXP(-(MOD((110/80*(60/C5)),(60/C5))-(60/C5*C9))/(C8*C7))*60)</f>
        <v/>
      </c>
      <c r="E139" s="26">
        <f>(IF(MOD((110/80*(60/C5)),(60/C5))&lt;(60/C5*C9),(C6+C4)*C7*(1-EXP(-MOD((110/80*(60/C5)),(60/C5))/(C8*C7))),((C6+C4)*C7*(1-EXP(-(60/C5*C9)/(C8*C7))))*EXP(-(MOD((110/80*(60/C5)),(60/C5))-(60/C5*C9))/(C8*C7))))*1000</f>
        <v/>
      </c>
      <c r="F139" s="25">
        <f>IF(AND(MOD((110/80*(60/C5)),(60/C5))&lt;(60/C5*C9),MOD((110/80*(60/C5)),(60/C5))&lt;C12),-ABS(C11)*SIN(PI()*MOD((110/80*(60/C5)),(60/C5))/C12),0)</f>
        <v/>
      </c>
      <c r="G139" s="25">
        <f>C6*(C10/(C7+C10))+(E139/1000)/C10+F139</f>
        <v/>
      </c>
      <c r="H139" s="25">
        <f>C139-G139</f>
        <v/>
      </c>
      <c r="I139" s="25">
        <f>C6+(E139/1000)/C7</f>
        <v/>
      </c>
    </row>
    <row r="140" ht="12.95" customHeight="1" s="44">
      <c r="B140" s="27">
        <f>(111/80*(60/C5))</f>
        <v/>
      </c>
      <c r="C140" s="27">
        <f>IF(MOD((111/80*(60/C5)),(60/C5))&lt;(60/C5*C9),C6+C4,C6)</f>
        <v/>
      </c>
      <c r="D140" s="27">
        <f>IF(MOD((111/80*(60/C5)),(60/C5))&lt;(60/C5*C9),((C6+C4)/C8)*EXP(-MOD((111/80*(60/C5)),(60/C5))/(C8*C7))*60,-(((C6+C4)*C7*(1-EXP(-(60/C5*C9)/(C8*C7))))/(C8*C7))*EXP(-(MOD((111/80*(60/C5)),(60/C5))-(60/C5*C9))/(C8*C7))*60)</f>
        <v/>
      </c>
      <c r="E140" s="28">
        <f>(IF(MOD((111/80*(60/C5)),(60/C5))&lt;(60/C5*C9),(C6+C4)*C7*(1-EXP(-MOD((111/80*(60/C5)),(60/C5))/(C8*C7))),((C6+C4)*C7*(1-EXP(-(60/C5*C9)/(C8*C7))))*EXP(-(MOD((111/80*(60/C5)),(60/C5))-(60/C5*C9))/(C8*C7))))*1000</f>
        <v/>
      </c>
      <c r="F140" s="27">
        <f>IF(AND(MOD((111/80*(60/C5)),(60/C5))&lt;(60/C5*C9),MOD((111/80*(60/C5)),(60/C5))&lt;C12),-ABS(C11)*SIN(PI()*MOD((111/80*(60/C5)),(60/C5))/C12),0)</f>
        <v/>
      </c>
      <c r="G140" s="27">
        <f>C6*(C10/(C7+C10))+(E140/1000)/C10+F140</f>
        <v/>
      </c>
      <c r="H140" s="27">
        <f>C140-G140</f>
        <v/>
      </c>
      <c r="I140" s="27">
        <f>C6+(E140/1000)/C7</f>
        <v/>
      </c>
    </row>
    <row r="141" ht="12.95" customHeight="1" s="44">
      <c r="B141" s="25">
        <f>(112/80*(60/C5))</f>
        <v/>
      </c>
      <c r="C141" s="25">
        <f>IF(MOD((112/80*(60/C5)),(60/C5))&lt;(60/C5*C9),C6+C4,C6)</f>
        <v/>
      </c>
      <c r="D141" s="25">
        <f>IF(MOD((112/80*(60/C5)),(60/C5))&lt;(60/C5*C9),((C6+C4)/C8)*EXP(-MOD((112/80*(60/C5)),(60/C5))/(C8*C7))*60,-(((C6+C4)*C7*(1-EXP(-(60/C5*C9)/(C8*C7))))/(C8*C7))*EXP(-(MOD((112/80*(60/C5)),(60/C5))-(60/C5*C9))/(C8*C7))*60)</f>
        <v/>
      </c>
      <c r="E141" s="26">
        <f>(IF(MOD((112/80*(60/C5)),(60/C5))&lt;(60/C5*C9),(C6+C4)*C7*(1-EXP(-MOD((112/80*(60/C5)),(60/C5))/(C8*C7))),((C6+C4)*C7*(1-EXP(-(60/C5*C9)/(C8*C7))))*EXP(-(MOD((112/80*(60/C5)),(60/C5))-(60/C5*C9))/(C8*C7))))*1000</f>
        <v/>
      </c>
      <c r="F141" s="25">
        <f>IF(AND(MOD((112/80*(60/C5)),(60/C5))&lt;(60/C5*C9),MOD((112/80*(60/C5)),(60/C5))&lt;C12),-ABS(C11)*SIN(PI()*MOD((112/80*(60/C5)),(60/C5))/C12),0)</f>
        <v/>
      </c>
      <c r="G141" s="25">
        <f>C6*(C10/(C7+C10))+(E141/1000)/C10+F141</f>
        <v/>
      </c>
      <c r="H141" s="25">
        <f>C141-G141</f>
        <v/>
      </c>
      <c r="I141" s="25">
        <f>C6+(E141/1000)/C7</f>
        <v/>
      </c>
    </row>
    <row r="142" ht="12.95" customHeight="1" s="44">
      <c r="B142" s="27">
        <f>(113/80*(60/C5))</f>
        <v/>
      </c>
      <c r="C142" s="27">
        <f>IF(MOD((113/80*(60/C5)),(60/C5))&lt;(60/C5*C9),C6+C4,C6)</f>
        <v/>
      </c>
      <c r="D142" s="27">
        <f>IF(MOD((113/80*(60/C5)),(60/C5))&lt;(60/C5*C9),((C6+C4)/C8)*EXP(-MOD((113/80*(60/C5)),(60/C5))/(C8*C7))*60,-(((C6+C4)*C7*(1-EXP(-(60/C5*C9)/(C8*C7))))/(C8*C7))*EXP(-(MOD((113/80*(60/C5)),(60/C5))-(60/C5*C9))/(C8*C7))*60)</f>
        <v/>
      </c>
      <c r="E142" s="28">
        <f>(IF(MOD((113/80*(60/C5)),(60/C5))&lt;(60/C5*C9),(C6+C4)*C7*(1-EXP(-MOD((113/80*(60/C5)),(60/C5))/(C8*C7))),((C6+C4)*C7*(1-EXP(-(60/C5*C9)/(C8*C7))))*EXP(-(MOD((113/80*(60/C5)),(60/C5))-(60/C5*C9))/(C8*C7))))*1000</f>
        <v/>
      </c>
      <c r="F142" s="27">
        <f>IF(AND(MOD((113/80*(60/C5)),(60/C5))&lt;(60/C5*C9),MOD((113/80*(60/C5)),(60/C5))&lt;C12),-ABS(C11)*SIN(PI()*MOD((113/80*(60/C5)),(60/C5))/C12),0)</f>
        <v/>
      </c>
      <c r="G142" s="27">
        <f>C6*(C10/(C7+C10))+(E142/1000)/C10+F142</f>
        <v/>
      </c>
      <c r="H142" s="27">
        <f>C142-G142</f>
        <v/>
      </c>
      <c r="I142" s="27">
        <f>C6+(E142/1000)/C7</f>
        <v/>
      </c>
    </row>
    <row r="143" ht="12.95" customHeight="1" s="44">
      <c r="B143" s="25">
        <f>(114/80*(60/C5))</f>
        <v/>
      </c>
      <c r="C143" s="25">
        <f>IF(MOD((114/80*(60/C5)),(60/C5))&lt;(60/C5*C9),C6+C4,C6)</f>
        <v/>
      </c>
      <c r="D143" s="25">
        <f>IF(MOD((114/80*(60/C5)),(60/C5))&lt;(60/C5*C9),((C6+C4)/C8)*EXP(-MOD((114/80*(60/C5)),(60/C5))/(C8*C7))*60,-(((C6+C4)*C7*(1-EXP(-(60/C5*C9)/(C8*C7))))/(C8*C7))*EXP(-(MOD((114/80*(60/C5)),(60/C5))-(60/C5*C9))/(C8*C7))*60)</f>
        <v/>
      </c>
      <c r="E143" s="26">
        <f>(IF(MOD((114/80*(60/C5)),(60/C5))&lt;(60/C5*C9),(C6+C4)*C7*(1-EXP(-MOD((114/80*(60/C5)),(60/C5))/(C8*C7))),((C6+C4)*C7*(1-EXP(-(60/C5*C9)/(C8*C7))))*EXP(-(MOD((114/80*(60/C5)),(60/C5))-(60/C5*C9))/(C8*C7))))*1000</f>
        <v/>
      </c>
      <c r="F143" s="25">
        <f>IF(AND(MOD((114/80*(60/C5)),(60/C5))&lt;(60/C5*C9),MOD((114/80*(60/C5)),(60/C5))&lt;C12),-ABS(C11)*SIN(PI()*MOD((114/80*(60/C5)),(60/C5))/C12),0)</f>
        <v/>
      </c>
      <c r="G143" s="25">
        <f>C6*(C10/(C7+C10))+(E143/1000)/C10+F143</f>
        <v/>
      </c>
      <c r="H143" s="25">
        <f>C143-G143</f>
        <v/>
      </c>
      <c r="I143" s="25">
        <f>C6+(E143/1000)/C7</f>
        <v/>
      </c>
    </row>
    <row r="144" ht="12.95" customHeight="1" s="44">
      <c r="B144" s="27">
        <f>(115/80*(60/C5))</f>
        <v/>
      </c>
      <c r="C144" s="27">
        <f>IF(MOD((115/80*(60/C5)),(60/C5))&lt;(60/C5*C9),C6+C4,C6)</f>
        <v/>
      </c>
      <c r="D144" s="27">
        <f>IF(MOD((115/80*(60/C5)),(60/C5))&lt;(60/C5*C9),((C6+C4)/C8)*EXP(-MOD((115/80*(60/C5)),(60/C5))/(C8*C7))*60,-(((C6+C4)*C7*(1-EXP(-(60/C5*C9)/(C8*C7))))/(C8*C7))*EXP(-(MOD((115/80*(60/C5)),(60/C5))-(60/C5*C9))/(C8*C7))*60)</f>
        <v/>
      </c>
      <c r="E144" s="28">
        <f>(IF(MOD((115/80*(60/C5)),(60/C5))&lt;(60/C5*C9),(C6+C4)*C7*(1-EXP(-MOD((115/80*(60/C5)),(60/C5))/(C8*C7))),((C6+C4)*C7*(1-EXP(-(60/C5*C9)/(C8*C7))))*EXP(-(MOD((115/80*(60/C5)),(60/C5))-(60/C5*C9))/(C8*C7))))*1000</f>
        <v/>
      </c>
      <c r="F144" s="27">
        <f>IF(AND(MOD((115/80*(60/C5)),(60/C5))&lt;(60/C5*C9),MOD((115/80*(60/C5)),(60/C5))&lt;C12),-ABS(C11)*SIN(PI()*MOD((115/80*(60/C5)),(60/C5))/C12),0)</f>
        <v/>
      </c>
      <c r="G144" s="27">
        <f>C6*(C10/(C7+C10))+(E144/1000)/C10+F144</f>
        <v/>
      </c>
      <c r="H144" s="27">
        <f>C144-G144</f>
        <v/>
      </c>
      <c r="I144" s="27">
        <f>C6+(E144/1000)/C7</f>
        <v/>
      </c>
    </row>
    <row r="145" ht="12.95" customHeight="1" s="44">
      <c r="B145" s="25">
        <f>(116/80*(60/C5))</f>
        <v/>
      </c>
      <c r="C145" s="25">
        <f>IF(MOD((116/80*(60/C5)),(60/C5))&lt;(60/C5*C9),C6+C4,C6)</f>
        <v/>
      </c>
      <c r="D145" s="25">
        <f>IF(MOD((116/80*(60/C5)),(60/C5))&lt;(60/C5*C9),((C6+C4)/C8)*EXP(-MOD((116/80*(60/C5)),(60/C5))/(C8*C7))*60,-(((C6+C4)*C7*(1-EXP(-(60/C5*C9)/(C8*C7))))/(C8*C7))*EXP(-(MOD((116/80*(60/C5)),(60/C5))-(60/C5*C9))/(C8*C7))*60)</f>
        <v/>
      </c>
      <c r="E145" s="26">
        <f>(IF(MOD((116/80*(60/C5)),(60/C5))&lt;(60/C5*C9),(C6+C4)*C7*(1-EXP(-MOD((116/80*(60/C5)),(60/C5))/(C8*C7))),((C6+C4)*C7*(1-EXP(-(60/C5*C9)/(C8*C7))))*EXP(-(MOD((116/80*(60/C5)),(60/C5))-(60/C5*C9))/(C8*C7))))*1000</f>
        <v/>
      </c>
      <c r="F145" s="25">
        <f>IF(AND(MOD((116/80*(60/C5)),(60/C5))&lt;(60/C5*C9),MOD((116/80*(60/C5)),(60/C5))&lt;C12),-ABS(C11)*SIN(PI()*MOD((116/80*(60/C5)),(60/C5))/C12),0)</f>
        <v/>
      </c>
      <c r="G145" s="25">
        <f>C6*(C10/(C7+C10))+(E145/1000)/C10+F145</f>
        <v/>
      </c>
      <c r="H145" s="25">
        <f>C145-G145</f>
        <v/>
      </c>
      <c r="I145" s="25">
        <f>C6+(E145/1000)/C7</f>
        <v/>
      </c>
    </row>
    <row r="146" ht="12.95" customHeight="1" s="44">
      <c r="B146" s="27">
        <f>(117/80*(60/C5))</f>
        <v/>
      </c>
      <c r="C146" s="27">
        <f>IF(MOD((117/80*(60/C5)),(60/C5))&lt;(60/C5*C9),C6+C4,C6)</f>
        <v/>
      </c>
      <c r="D146" s="27">
        <f>IF(MOD((117/80*(60/C5)),(60/C5))&lt;(60/C5*C9),((C6+C4)/C8)*EXP(-MOD((117/80*(60/C5)),(60/C5))/(C8*C7))*60,-(((C6+C4)*C7*(1-EXP(-(60/C5*C9)/(C8*C7))))/(C8*C7))*EXP(-(MOD((117/80*(60/C5)),(60/C5))-(60/C5*C9))/(C8*C7))*60)</f>
        <v/>
      </c>
      <c r="E146" s="28">
        <f>(IF(MOD((117/80*(60/C5)),(60/C5))&lt;(60/C5*C9),(C6+C4)*C7*(1-EXP(-MOD((117/80*(60/C5)),(60/C5))/(C8*C7))),((C6+C4)*C7*(1-EXP(-(60/C5*C9)/(C8*C7))))*EXP(-(MOD((117/80*(60/C5)),(60/C5))-(60/C5*C9))/(C8*C7))))*1000</f>
        <v/>
      </c>
      <c r="F146" s="27">
        <f>IF(AND(MOD((117/80*(60/C5)),(60/C5))&lt;(60/C5*C9),MOD((117/80*(60/C5)),(60/C5))&lt;C12),-ABS(C11)*SIN(PI()*MOD((117/80*(60/C5)),(60/C5))/C12),0)</f>
        <v/>
      </c>
      <c r="G146" s="27">
        <f>C6*(C10/(C7+C10))+(E146/1000)/C10+F146</f>
        <v/>
      </c>
      <c r="H146" s="27">
        <f>C146-G146</f>
        <v/>
      </c>
      <c r="I146" s="27">
        <f>C6+(E146/1000)/C7</f>
        <v/>
      </c>
    </row>
    <row r="147" ht="12.95" customHeight="1" s="44">
      <c r="B147" s="25">
        <f>(118/80*(60/C5))</f>
        <v/>
      </c>
      <c r="C147" s="25">
        <f>IF(MOD((118/80*(60/C5)),(60/C5))&lt;(60/C5*C9),C6+C4,C6)</f>
        <v/>
      </c>
      <c r="D147" s="25">
        <f>IF(MOD((118/80*(60/C5)),(60/C5))&lt;(60/C5*C9),((C6+C4)/C8)*EXP(-MOD((118/80*(60/C5)),(60/C5))/(C8*C7))*60,-(((C6+C4)*C7*(1-EXP(-(60/C5*C9)/(C8*C7))))/(C8*C7))*EXP(-(MOD((118/80*(60/C5)),(60/C5))-(60/C5*C9))/(C8*C7))*60)</f>
        <v/>
      </c>
      <c r="E147" s="26">
        <f>(IF(MOD((118/80*(60/C5)),(60/C5))&lt;(60/C5*C9),(C6+C4)*C7*(1-EXP(-MOD((118/80*(60/C5)),(60/C5))/(C8*C7))),((C6+C4)*C7*(1-EXP(-(60/C5*C9)/(C8*C7))))*EXP(-(MOD((118/80*(60/C5)),(60/C5))-(60/C5*C9))/(C8*C7))))*1000</f>
        <v/>
      </c>
      <c r="F147" s="25">
        <f>IF(AND(MOD((118/80*(60/C5)),(60/C5))&lt;(60/C5*C9),MOD((118/80*(60/C5)),(60/C5))&lt;C12),-ABS(C11)*SIN(PI()*MOD((118/80*(60/C5)),(60/C5))/C12),0)</f>
        <v/>
      </c>
      <c r="G147" s="25">
        <f>C6*(C10/(C7+C10))+(E147/1000)/C10+F147</f>
        <v/>
      </c>
      <c r="H147" s="25">
        <f>C147-G147</f>
        <v/>
      </c>
      <c r="I147" s="25">
        <f>C6+(E147/1000)/C7</f>
        <v/>
      </c>
    </row>
    <row r="148" ht="12.95" customHeight="1" s="44">
      <c r="B148" s="27">
        <f>(119/80*(60/C5))</f>
        <v/>
      </c>
      <c r="C148" s="27">
        <f>IF(MOD((119/80*(60/C5)),(60/C5))&lt;(60/C5*C9),C6+C4,C6)</f>
        <v/>
      </c>
      <c r="D148" s="27">
        <f>IF(MOD((119/80*(60/C5)),(60/C5))&lt;(60/C5*C9),((C6+C4)/C8)*EXP(-MOD((119/80*(60/C5)),(60/C5))/(C8*C7))*60,-(((C6+C4)*C7*(1-EXP(-(60/C5*C9)/(C8*C7))))/(C8*C7))*EXP(-(MOD((119/80*(60/C5)),(60/C5))-(60/C5*C9))/(C8*C7))*60)</f>
        <v/>
      </c>
      <c r="E148" s="28">
        <f>(IF(MOD((119/80*(60/C5)),(60/C5))&lt;(60/C5*C9),(C6+C4)*C7*(1-EXP(-MOD((119/80*(60/C5)),(60/C5))/(C8*C7))),((C6+C4)*C7*(1-EXP(-(60/C5*C9)/(C8*C7))))*EXP(-(MOD((119/80*(60/C5)),(60/C5))-(60/C5*C9))/(C8*C7))))*1000</f>
        <v/>
      </c>
      <c r="F148" s="27">
        <f>IF(AND(MOD((119/80*(60/C5)),(60/C5))&lt;(60/C5*C9),MOD((119/80*(60/C5)),(60/C5))&lt;C12),-ABS(C11)*SIN(PI()*MOD((119/80*(60/C5)),(60/C5))/C12),0)</f>
        <v/>
      </c>
      <c r="G148" s="27">
        <f>C6*(C10/(C7+C10))+(E148/1000)/C10+F148</f>
        <v/>
      </c>
      <c r="H148" s="27">
        <f>C148-G148</f>
        <v/>
      </c>
      <c r="I148" s="27">
        <f>C6+(E148/1000)/C7</f>
        <v/>
      </c>
    </row>
    <row r="149" ht="12.95" customHeight="1" s="44">
      <c r="B149" s="25">
        <f>(120/80*(60/C5))</f>
        <v/>
      </c>
      <c r="C149" s="25">
        <f>IF(MOD((120/80*(60/C5)),(60/C5))&lt;(60/C5*C9),C6+C4,C6)</f>
        <v/>
      </c>
      <c r="D149" s="25">
        <f>IF(MOD((120/80*(60/C5)),(60/C5))&lt;(60/C5*C9),((C6+C4)/C8)*EXP(-MOD((120/80*(60/C5)),(60/C5))/(C8*C7))*60,-(((C6+C4)*C7*(1-EXP(-(60/C5*C9)/(C8*C7))))/(C8*C7))*EXP(-(MOD((120/80*(60/C5)),(60/C5))-(60/C5*C9))/(C8*C7))*60)</f>
        <v/>
      </c>
      <c r="E149" s="26">
        <f>(IF(MOD((120/80*(60/C5)),(60/C5))&lt;(60/C5*C9),(C6+C4)*C7*(1-EXP(-MOD((120/80*(60/C5)),(60/C5))/(C8*C7))),((C6+C4)*C7*(1-EXP(-(60/C5*C9)/(C8*C7))))*EXP(-(MOD((120/80*(60/C5)),(60/C5))-(60/C5*C9))/(C8*C7))))*1000</f>
        <v/>
      </c>
      <c r="F149" s="25">
        <f>IF(AND(MOD((120/80*(60/C5)),(60/C5))&lt;(60/C5*C9),MOD((120/80*(60/C5)),(60/C5))&lt;C12),-ABS(C11)*SIN(PI()*MOD((120/80*(60/C5)),(60/C5))/C12),0)</f>
        <v/>
      </c>
      <c r="G149" s="25">
        <f>C6*(C10/(C7+C10))+(E149/1000)/C10+F149</f>
        <v/>
      </c>
      <c r="H149" s="25">
        <f>C149-G149</f>
        <v/>
      </c>
      <c r="I149" s="25">
        <f>C6+(E149/1000)/C7</f>
        <v/>
      </c>
    </row>
    <row r="150" ht="12.95" customHeight="1" s="44">
      <c r="B150" s="27">
        <f>(121/80*(60/C5))</f>
        <v/>
      </c>
      <c r="C150" s="27">
        <f>IF(MOD((121/80*(60/C5)),(60/C5))&lt;(60/C5*C9),C6+C4,C6)</f>
        <v/>
      </c>
      <c r="D150" s="27">
        <f>IF(MOD((121/80*(60/C5)),(60/C5))&lt;(60/C5*C9),((C6+C4)/C8)*EXP(-MOD((121/80*(60/C5)),(60/C5))/(C8*C7))*60,-(((C6+C4)*C7*(1-EXP(-(60/C5*C9)/(C8*C7))))/(C8*C7))*EXP(-(MOD((121/80*(60/C5)),(60/C5))-(60/C5*C9))/(C8*C7))*60)</f>
        <v/>
      </c>
      <c r="E150" s="28">
        <f>(IF(MOD((121/80*(60/C5)),(60/C5))&lt;(60/C5*C9),(C6+C4)*C7*(1-EXP(-MOD((121/80*(60/C5)),(60/C5))/(C8*C7))),((C6+C4)*C7*(1-EXP(-(60/C5*C9)/(C8*C7))))*EXP(-(MOD((121/80*(60/C5)),(60/C5))-(60/C5*C9))/(C8*C7))))*1000</f>
        <v/>
      </c>
      <c r="F150" s="27">
        <f>IF(AND(MOD((121/80*(60/C5)),(60/C5))&lt;(60/C5*C9),MOD((121/80*(60/C5)),(60/C5))&lt;C12),-ABS(C11)*SIN(PI()*MOD((121/80*(60/C5)),(60/C5))/C12),0)</f>
        <v/>
      </c>
      <c r="G150" s="27">
        <f>C6*(C10/(C7+C10))+(E150/1000)/C10+F150</f>
        <v/>
      </c>
      <c r="H150" s="27">
        <f>C150-G150</f>
        <v/>
      </c>
      <c r="I150" s="27">
        <f>C6+(E150/1000)/C7</f>
        <v/>
      </c>
    </row>
    <row r="151" ht="12.95" customHeight="1" s="44">
      <c r="B151" s="25">
        <f>(122/80*(60/C5))</f>
        <v/>
      </c>
      <c r="C151" s="25">
        <f>IF(MOD((122/80*(60/C5)),(60/C5))&lt;(60/C5*C9),C6+C4,C6)</f>
        <v/>
      </c>
      <c r="D151" s="25">
        <f>IF(MOD((122/80*(60/C5)),(60/C5))&lt;(60/C5*C9),((C6+C4)/C8)*EXP(-MOD((122/80*(60/C5)),(60/C5))/(C8*C7))*60,-(((C6+C4)*C7*(1-EXP(-(60/C5*C9)/(C8*C7))))/(C8*C7))*EXP(-(MOD((122/80*(60/C5)),(60/C5))-(60/C5*C9))/(C8*C7))*60)</f>
        <v/>
      </c>
      <c r="E151" s="26">
        <f>(IF(MOD((122/80*(60/C5)),(60/C5))&lt;(60/C5*C9),(C6+C4)*C7*(1-EXP(-MOD((122/80*(60/C5)),(60/C5))/(C8*C7))),((C6+C4)*C7*(1-EXP(-(60/C5*C9)/(C8*C7))))*EXP(-(MOD((122/80*(60/C5)),(60/C5))-(60/C5*C9))/(C8*C7))))*1000</f>
        <v/>
      </c>
      <c r="F151" s="25">
        <f>IF(AND(MOD((122/80*(60/C5)),(60/C5))&lt;(60/C5*C9),MOD((122/80*(60/C5)),(60/C5))&lt;C12),-ABS(C11)*SIN(PI()*MOD((122/80*(60/C5)),(60/C5))/C12),0)</f>
        <v/>
      </c>
      <c r="G151" s="25">
        <f>C6*(C10/(C7+C10))+(E151/1000)/C10+F151</f>
        <v/>
      </c>
      <c r="H151" s="25">
        <f>C151-G151</f>
        <v/>
      </c>
      <c r="I151" s="25">
        <f>C6+(E151/1000)/C7</f>
        <v/>
      </c>
    </row>
    <row r="152" ht="12.95" customHeight="1" s="44">
      <c r="B152" s="27">
        <f>(123/80*(60/C5))</f>
        <v/>
      </c>
      <c r="C152" s="27">
        <f>IF(MOD((123/80*(60/C5)),(60/C5))&lt;(60/C5*C9),C6+C4,C6)</f>
        <v/>
      </c>
      <c r="D152" s="27">
        <f>IF(MOD((123/80*(60/C5)),(60/C5))&lt;(60/C5*C9),((C6+C4)/C8)*EXP(-MOD((123/80*(60/C5)),(60/C5))/(C8*C7))*60,-(((C6+C4)*C7*(1-EXP(-(60/C5*C9)/(C8*C7))))/(C8*C7))*EXP(-(MOD((123/80*(60/C5)),(60/C5))-(60/C5*C9))/(C8*C7))*60)</f>
        <v/>
      </c>
      <c r="E152" s="28">
        <f>(IF(MOD((123/80*(60/C5)),(60/C5))&lt;(60/C5*C9),(C6+C4)*C7*(1-EXP(-MOD((123/80*(60/C5)),(60/C5))/(C8*C7))),((C6+C4)*C7*(1-EXP(-(60/C5*C9)/(C8*C7))))*EXP(-(MOD((123/80*(60/C5)),(60/C5))-(60/C5*C9))/(C8*C7))))*1000</f>
        <v/>
      </c>
      <c r="F152" s="27">
        <f>IF(AND(MOD((123/80*(60/C5)),(60/C5))&lt;(60/C5*C9),MOD((123/80*(60/C5)),(60/C5))&lt;C12),-ABS(C11)*SIN(PI()*MOD((123/80*(60/C5)),(60/C5))/C12),0)</f>
        <v/>
      </c>
      <c r="G152" s="27">
        <f>C6*(C10/(C7+C10))+(E152/1000)/C10+F152</f>
        <v/>
      </c>
      <c r="H152" s="27">
        <f>C152-G152</f>
        <v/>
      </c>
      <c r="I152" s="27">
        <f>C6+(E152/1000)/C7</f>
        <v/>
      </c>
    </row>
    <row r="153" ht="12.95" customHeight="1" s="44">
      <c r="B153" s="25">
        <f>(124/80*(60/C5))</f>
        <v/>
      </c>
      <c r="C153" s="25">
        <f>IF(MOD((124/80*(60/C5)),(60/C5))&lt;(60/C5*C9),C6+C4,C6)</f>
        <v/>
      </c>
      <c r="D153" s="25">
        <f>IF(MOD((124/80*(60/C5)),(60/C5))&lt;(60/C5*C9),((C6+C4)/C8)*EXP(-MOD((124/80*(60/C5)),(60/C5))/(C8*C7))*60,-(((C6+C4)*C7*(1-EXP(-(60/C5*C9)/(C8*C7))))/(C8*C7))*EXP(-(MOD((124/80*(60/C5)),(60/C5))-(60/C5*C9))/(C8*C7))*60)</f>
        <v/>
      </c>
      <c r="E153" s="26">
        <f>(IF(MOD((124/80*(60/C5)),(60/C5))&lt;(60/C5*C9),(C6+C4)*C7*(1-EXP(-MOD((124/80*(60/C5)),(60/C5))/(C8*C7))),((C6+C4)*C7*(1-EXP(-(60/C5*C9)/(C8*C7))))*EXP(-(MOD((124/80*(60/C5)),(60/C5))-(60/C5*C9))/(C8*C7))))*1000</f>
        <v/>
      </c>
      <c r="F153" s="25">
        <f>IF(AND(MOD((124/80*(60/C5)),(60/C5))&lt;(60/C5*C9),MOD((124/80*(60/C5)),(60/C5))&lt;C12),-ABS(C11)*SIN(PI()*MOD((124/80*(60/C5)),(60/C5))/C12),0)</f>
        <v/>
      </c>
      <c r="G153" s="25">
        <f>C6*(C10/(C7+C10))+(E153/1000)/C10+F153</f>
        <v/>
      </c>
      <c r="H153" s="25">
        <f>C153-G153</f>
        <v/>
      </c>
      <c r="I153" s="25">
        <f>C6+(E153/1000)/C7</f>
        <v/>
      </c>
    </row>
    <row r="154" ht="12.95" customHeight="1" s="44">
      <c r="B154" s="27">
        <f>(125/80*(60/C5))</f>
        <v/>
      </c>
      <c r="C154" s="27">
        <f>IF(MOD((125/80*(60/C5)),(60/C5))&lt;(60/C5*C9),C6+C4,C6)</f>
        <v/>
      </c>
      <c r="D154" s="27">
        <f>IF(MOD((125/80*(60/C5)),(60/C5))&lt;(60/C5*C9),((C6+C4)/C8)*EXP(-MOD((125/80*(60/C5)),(60/C5))/(C8*C7))*60,-(((C6+C4)*C7*(1-EXP(-(60/C5*C9)/(C8*C7))))/(C8*C7))*EXP(-(MOD((125/80*(60/C5)),(60/C5))-(60/C5*C9))/(C8*C7))*60)</f>
        <v/>
      </c>
      <c r="E154" s="28">
        <f>(IF(MOD((125/80*(60/C5)),(60/C5))&lt;(60/C5*C9),(C6+C4)*C7*(1-EXP(-MOD((125/80*(60/C5)),(60/C5))/(C8*C7))),((C6+C4)*C7*(1-EXP(-(60/C5*C9)/(C8*C7))))*EXP(-(MOD((125/80*(60/C5)),(60/C5))-(60/C5*C9))/(C8*C7))))*1000</f>
        <v/>
      </c>
      <c r="F154" s="27">
        <f>IF(AND(MOD((125/80*(60/C5)),(60/C5))&lt;(60/C5*C9),MOD((125/80*(60/C5)),(60/C5))&lt;C12),-ABS(C11)*SIN(PI()*MOD((125/80*(60/C5)),(60/C5))/C12),0)</f>
        <v/>
      </c>
      <c r="G154" s="27">
        <f>C6*(C10/(C7+C10))+(E154/1000)/C10+F154</f>
        <v/>
      </c>
      <c r="H154" s="27">
        <f>C154-G154</f>
        <v/>
      </c>
      <c r="I154" s="27">
        <f>C6+(E154/1000)/C7</f>
        <v/>
      </c>
    </row>
    <row r="155" ht="12.95" customHeight="1" s="44">
      <c r="B155" s="25">
        <f>(126/80*(60/C5))</f>
        <v/>
      </c>
      <c r="C155" s="25">
        <f>IF(MOD((126/80*(60/C5)),(60/C5))&lt;(60/C5*C9),C6+C4,C6)</f>
        <v/>
      </c>
      <c r="D155" s="25">
        <f>IF(MOD((126/80*(60/C5)),(60/C5))&lt;(60/C5*C9),((C6+C4)/C8)*EXP(-MOD((126/80*(60/C5)),(60/C5))/(C8*C7))*60,-(((C6+C4)*C7*(1-EXP(-(60/C5*C9)/(C8*C7))))/(C8*C7))*EXP(-(MOD((126/80*(60/C5)),(60/C5))-(60/C5*C9))/(C8*C7))*60)</f>
        <v/>
      </c>
      <c r="E155" s="26">
        <f>(IF(MOD((126/80*(60/C5)),(60/C5))&lt;(60/C5*C9),(C6+C4)*C7*(1-EXP(-MOD((126/80*(60/C5)),(60/C5))/(C8*C7))),((C6+C4)*C7*(1-EXP(-(60/C5*C9)/(C8*C7))))*EXP(-(MOD((126/80*(60/C5)),(60/C5))-(60/C5*C9))/(C8*C7))))*1000</f>
        <v/>
      </c>
      <c r="F155" s="25">
        <f>IF(AND(MOD((126/80*(60/C5)),(60/C5))&lt;(60/C5*C9),MOD((126/80*(60/C5)),(60/C5))&lt;C12),-ABS(C11)*SIN(PI()*MOD((126/80*(60/C5)),(60/C5))/C12),0)</f>
        <v/>
      </c>
      <c r="G155" s="25">
        <f>C6*(C10/(C7+C10))+(E155/1000)/C10+F155</f>
        <v/>
      </c>
      <c r="H155" s="25">
        <f>C155-G155</f>
        <v/>
      </c>
      <c r="I155" s="25">
        <f>C6+(E155/1000)/C7</f>
        <v/>
      </c>
    </row>
    <row r="156" ht="12.95" customHeight="1" s="44">
      <c r="B156" s="27">
        <f>(127/80*(60/C5))</f>
        <v/>
      </c>
      <c r="C156" s="27">
        <f>IF(MOD((127/80*(60/C5)),(60/C5))&lt;(60/C5*C9),C6+C4,C6)</f>
        <v/>
      </c>
      <c r="D156" s="27">
        <f>IF(MOD((127/80*(60/C5)),(60/C5))&lt;(60/C5*C9),((C6+C4)/C8)*EXP(-MOD((127/80*(60/C5)),(60/C5))/(C8*C7))*60,-(((C6+C4)*C7*(1-EXP(-(60/C5*C9)/(C8*C7))))/(C8*C7))*EXP(-(MOD((127/80*(60/C5)),(60/C5))-(60/C5*C9))/(C8*C7))*60)</f>
        <v/>
      </c>
      <c r="E156" s="28">
        <f>(IF(MOD((127/80*(60/C5)),(60/C5))&lt;(60/C5*C9),(C6+C4)*C7*(1-EXP(-MOD((127/80*(60/C5)),(60/C5))/(C8*C7))),((C6+C4)*C7*(1-EXP(-(60/C5*C9)/(C8*C7))))*EXP(-(MOD((127/80*(60/C5)),(60/C5))-(60/C5*C9))/(C8*C7))))*1000</f>
        <v/>
      </c>
      <c r="F156" s="27">
        <f>IF(AND(MOD((127/80*(60/C5)),(60/C5))&lt;(60/C5*C9),MOD((127/80*(60/C5)),(60/C5))&lt;C12),-ABS(C11)*SIN(PI()*MOD((127/80*(60/C5)),(60/C5))/C12),0)</f>
        <v/>
      </c>
      <c r="G156" s="27">
        <f>C6*(C10/(C7+C10))+(E156/1000)/C10+F156</f>
        <v/>
      </c>
      <c r="H156" s="27">
        <f>C156-G156</f>
        <v/>
      </c>
      <c r="I156" s="27">
        <f>C6+(E156/1000)/C7</f>
        <v/>
      </c>
    </row>
    <row r="157" ht="12.95" customHeight="1" s="44">
      <c r="B157" s="25">
        <f>(128/80*(60/C5))</f>
        <v/>
      </c>
      <c r="C157" s="25">
        <f>IF(MOD((128/80*(60/C5)),(60/C5))&lt;(60/C5*C9),C6+C4,C6)</f>
        <v/>
      </c>
      <c r="D157" s="25">
        <f>IF(MOD((128/80*(60/C5)),(60/C5))&lt;(60/C5*C9),((C6+C4)/C8)*EXP(-MOD((128/80*(60/C5)),(60/C5))/(C8*C7))*60,-(((C6+C4)*C7*(1-EXP(-(60/C5*C9)/(C8*C7))))/(C8*C7))*EXP(-(MOD((128/80*(60/C5)),(60/C5))-(60/C5*C9))/(C8*C7))*60)</f>
        <v/>
      </c>
      <c r="E157" s="26">
        <f>(IF(MOD((128/80*(60/C5)),(60/C5))&lt;(60/C5*C9),(C6+C4)*C7*(1-EXP(-MOD((128/80*(60/C5)),(60/C5))/(C8*C7))),((C6+C4)*C7*(1-EXP(-(60/C5*C9)/(C8*C7))))*EXP(-(MOD((128/80*(60/C5)),(60/C5))-(60/C5*C9))/(C8*C7))))*1000</f>
        <v/>
      </c>
      <c r="F157" s="25">
        <f>IF(AND(MOD((128/80*(60/C5)),(60/C5))&lt;(60/C5*C9),MOD((128/80*(60/C5)),(60/C5))&lt;C12),-ABS(C11)*SIN(PI()*MOD((128/80*(60/C5)),(60/C5))/C12),0)</f>
        <v/>
      </c>
      <c r="G157" s="25">
        <f>C6*(C10/(C7+C10))+(E157/1000)/C10+F157</f>
        <v/>
      </c>
      <c r="H157" s="25">
        <f>C157-G157</f>
        <v/>
      </c>
      <c r="I157" s="25">
        <f>C6+(E157/1000)/C7</f>
        <v/>
      </c>
    </row>
    <row r="158" ht="12.95" customHeight="1" s="44">
      <c r="B158" s="27">
        <f>(129/80*(60/C5))</f>
        <v/>
      </c>
      <c r="C158" s="27">
        <f>IF(MOD((129/80*(60/C5)),(60/C5))&lt;(60/C5*C9),C6+C4,C6)</f>
        <v/>
      </c>
      <c r="D158" s="27">
        <f>IF(MOD((129/80*(60/C5)),(60/C5))&lt;(60/C5*C9),((C6+C4)/C8)*EXP(-MOD((129/80*(60/C5)),(60/C5))/(C8*C7))*60,-(((C6+C4)*C7*(1-EXP(-(60/C5*C9)/(C8*C7))))/(C8*C7))*EXP(-(MOD((129/80*(60/C5)),(60/C5))-(60/C5*C9))/(C8*C7))*60)</f>
        <v/>
      </c>
      <c r="E158" s="28">
        <f>(IF(MOD((129/80*(60/C5)),(60/C5))&lt;(60/C5*C9),(C6+C4)*C7*(1-EXP(-MOD((129/80*(60/C5)),(60/C5))/(C8*C7))),((C6+C4)*C7*(1-EXP(-(60/C5*C9)/(C8*C7))))*EXP(-(MOD((129/80*(60/C5)),(60/C5))-(60/C5*C9))/(C8*C7))))*1000</f>
        <v/>
      </c>
      <c r="F158" s="27">
        <f>IF(AND(MOD((129/80*(60/C5)),(60/C5))&lt;(60/C5*C9),MOD((129/80*(60/C5)),(60/C5))&lt;C12),-ABS(C11)*SIN(PI()*MOD((129/80*(60/C5)),(60/C5))/C12),0)</f>
        <v/>
      </c>
      <c r="G158" s="27">
        <f>C6*(C10/(C7+C10))+(E158/1000)/C10+F158</f>
        <v/>
      </c>
      <c r="H158" s="27">
        <f>C158-G158</f>
        <v/>
      </c>
      <c r="I158" s="27">
        <f>C6+(E158/1000)/C7</f>
        <v/>
      </c>
    </row>
    <row r="159" ht="12.95" customHeight="1" s="44">
      <c r="B159" s="25">
        <f>(130/80*(60/C5))</f>
        <v/>
      </c>
      <c r="C159" s="25">
        <f>IF(MOD((130/80*(60/C5)),(60/C5))&lt;(60/C5*C9),C6+C4,C6)</f>
        <v/>
      </c>
      <c r="D159" s="25">
        <f>IF(MOD((130/80*(60/C5)),(60/C5))&lt;(60/C5*C9),((C6+C4)/C8)*EXP(-MOD((130/80*(60/C5)),(60/C5))/(C8*C7))*60,-(((C6+C4)*C7*(1-EXP(-(60/C5*C9)/(C8*C7))))/(C8*C7))*EXP(-(MOD((130/80*(60/C5)),(60/C5))-(60/C5*C9))/(C8*C7))*60)</f>
        <v/>
      </c>
      <c r="E159" s="26">
        <f>(IF(MOD((130/80*(60/C5)),(60/C5))&lt;(60/C5*C9),(C6+C4)*C7*(1-EXP(-MOD((130/80*(60/C5)),(60/C5))/(C8*C7))),((C6+C4)*C7*(1-EXP(-(60/C5*C9)/(C8*C7))))*EXP(-(MOD((130/80*(60/C5)),(60/C5))-(60/C5*C9))/(C8*C7))))*1000</f>
        <v/>
      </c>
      <c r="F159" s="25">
        <f>IF(AND(MOD((130/80*(60/C5)),(60/C5))&lt;(60/C5*C9),MOD((130/80*(60/C5)),(60/C5))&lt;C12),-ABS(C11)*SIN(PI()*MOD((130/80*(60/C5)),(60/C5))/C12),0)</f>
        <v/>
      </c>
      <c r="G159" s="25">
        <f>C6*(C10/(C7+C10))+(E159/1000)/C10+F159</f>
        <v/>
      </c>
      <c r="H159" s="25">
        <f>C159-G159</f>
        <v/>
      </c>
      <c r="I159" s="25">
        <f>C6+(E159/1000)/C7</f>
        <v/>
      </c>
    </row>
    <row r="160" ht="12.95" customHeight="1" s="44">
      <c r="B160" s="27">
        <f>(131/80*(60/C5))</f>
        <v/>
      </c>
      <c r="C160" s="27">
        <f>IF(MOD((131/80*(60/C5)),(60/C5))&lt;(60/C5*C9),C6+C4,C6)</f>
        <v/>
      </c>
      <c r="D160" s="27">
        <f>IF(MOD((131/80*(60/C5)),(60/C5))&lt;(60/C5*C9),((C6+C4)/C8)*EXP(-MOD((131/80*(60/C5)),(60/C5))/(C8*C7))*60,-(((C6+C4)*C7*(1-EXP(-(60/C5*C9)/(C8*C7))))/(C8*C7))*EXP(-(MOD((131/80*(60/C5)),(60/C5))-(60/C5*C9))/(C8*C7))*60)</f>
        <v/>
      </c>
      <c r="E160" s="28">
        <f>(IF(MOD((131/80*(60/C5)),(60/C5))&lt;(60/C5*C9),(C6+C4)*C7*(1-EXP(-MOD((131/80*(60/C5)),(60/C5))/(C8*C7))),((C6+C4)*C7*(1-EXP(-(60/C5*C9)/(C8*C7))))*EXP(-(MOD((131/80*(60/C5)),(60/C5))-(60/C5*C9))/(C8*C7))))*1000</f>
        <v/>
      </c>
      <c r="F160" s="27">
        <f>IF(AND(MOD((131/80*(60/C5)),(60/C5))&lt;(60/C5*C9),MOD((131/80*(60/C5)),(60/C5))&lt;C12),-ABS(C11)*SIN(PI()*MOD((131/80*(60/C5)),(60/C5))/C12),0)</f>
        <v/>
      </c>
      <c r="G160" s="27">
        <f>C6*(C10/(C7+C10))+(E160/1000)/C10+F160</f>
        <v/>
      </c>
      <c r="H160" s="27">
        <f>C160-G160</f>
        <v/>
      </c>
      <c r="I160" s="27">
        <f>C6+(E160/1000)/C7</f>
        <v/>
      </c>
    </row>
    <row r="161" ht="12.95" customHeight="1" s="44">
      <c r="B161" s="25">
        <f>(132/80*(60/C5))</f>
        <v/>
      </c>
      <c r="C161" s="25">
        <f>IF(MOD((132/80*(60/C5)),(60/C5))&lt;(60/C5*C9),C6+C4,C6)</f>
        <v/>
      </c>
      <c r="D161" s="25">
        <f>IF(MOD((132/80*(60/C5)),(60/C5))&lt;(60/C5*C9),((C6+C4)/C8)*EXP(-MOD((132/80*(60/C5)),(60/C5))/(C8*C7))*60,-(((C6+C4)*C7*(1-EXP(-(60/C5*C9)/(C8*C7))))/(C8*C7))*EXP(-(MOD((132/80*(60/C5)),(60/C5))-(60/C5*C9))/(C8*C7))*60)</f>
        <v/>
      </c>
      <c r="E161" s="26">
        <f>(IF(MOD((132/80*(60/C5)),(60/C5))&lt;(60/C5*C9),(C6+C4)*C7*(1-EXP(-MOD((132/80*(60/C5)),(60/C5))/(C8*C7))),((C6+C4)*C7*(1-EXP(-(60/C5*C9)/(C8*C7))))*EXP(-(MOD((132/80*(60/C5)),(60/C5))-(60/C5*C9))/(C8*C7))))*1000</f>
        <v/>
      </c>
      <c r="F161" s="25">
        <f>IF(AND(MOD((132/80*(60/C5)),(60/C5))&lt;(60/C5*C9),MOD((132/80*(60/C5)),(60/C5))&lt;C12),-ABS(C11)*SIN(PI()*MOD((132/80*(60/C5)),(60/C5))/C12),0)</f>
        <v/>
      </c>
      <c r="G161" s="25">
        <f>C6*(C10/(C7+C10))+(E161/1000)/C10+F161</f>
        <v/>
      </c>
      <c r="H161" s="25">
        <f>C161-G161</f>
        <v/>
      </c>
      <c r="I161" s="25">
        <f>C6+(E161/1000)/C7</f>
        <v/>
      </c>
    </row>
    <row r="162" ht="12.95" customHeight="1" s="44">
      <c r="B162" s="27">
        <f>(133/80*(60/C5))</f>
        <v/>
      </c>
      <c r="C162" s="27">
        <f>IF(MOD((133/80*(60/C5)),(60/C5))&lt;(60/C5*C9),C6+C4,C6)</f>
        <v/>
      </c>
      <c r="D162" s="27">
        <f>IF(MOD((133/80*(60/C5)),(60/C5))&lt;(60/C5*C9),((C6+C4)/C8)*EXP(-MOD((133/80*(60/C5)),(60/C5))/(C8*C7))*60,-(((C6+C4)*C7*(1-EXP(-(60/C5*C9)/(C8*C7))))/(C8*C7))*EXP(-(MOD((133/80*(60/C5)),(60/C5))-(60/C5*C9))/(C8*C7))*60)</f>
        <v/>
      </c>
      <c r="E162" s="28">
        <f>(IF(MOD((133/80*(60/C5)),(60/C5))&lt;(60/C5*C9),(C6+C4)*C7*(1-EXP(-MOD((133/80*(60/C5)),(60/C5))/(C8*C7))),((C6+C4)*C7*(1-EXP(-(60/C5*C9)/(C8*C7))))*EXP(-(MOD((133/80*(60/C5)),(60/C5))-(60/C5*C9))/(C8*C7))))*1000</f>
        <v/>
      </c>
      <c r="F162" s="27">
        <f>IF(AND(MOD((133/80*(60/C5)),(60/C5))&lt;(60/C5*C9),MOD((133/80*(60/C5)),(60/C5))&lt;C12),-ABS(C11)*SIN(PI()*MOD((133/80*(60/C5)),(60/C5))/C12),0)</f>
        <v/>
      </c>
      <c r="G162" s="27">
        <f>C6*(C10/(C7+C10))+(E162/1000)/C10+F162</f>
        <v/>
      </c>
      <c r="H162" s="27">
        <f>C162-G162</f>
        <v/>
      </c>
      <c r="I162" s="27">
        <f>C6+(E162/1000)/C7</f>
        <v/>
      </c>
    </row>
    <row r="163" ht="12.95" customHeight="1" s="44">
      <c r="B163" s="25">
        <f>(134/80*(60/C5))</f>
        <v/>
      </c>
      <c r="C163" s="25">
        <f>IF(MOD((134/80*(60/C5)),(60/C5))&lt;(60/C5*C9),C6+C4,C6)</f>
        <v/>
      </c>
      <c r="D163" s="25">
        <f>IF(MOD((134/80*(60/C5)),(60/C5))&lt;(60/C5*C9),((C6+C4)/C8)*EXP(-MOD((134/80*(60/C5)),(60/C5))/(C8*C7))*60,-(((C6+C4)*C7*(1-EXP(-(60/C5*C9)/(C8*C7))))/(C8*C7))*EXP(-(MOD((134/80*(60/C5)),(60/C5))-(60/C5*C9))/(C8*C7))*60)</f>
        <v/>
      </c>
      <c r="E163" s="26">
        <f>(IF(MOD((134/80*(60/C5)),(60/C5))&lt;(60/C5*C9),(C6+C4)*C7*(1-EXP(-MOD((134/80*(60/C5)),(60/C5))/(C8*C7))),((C6+C4)*C7*(1-EXP(-(60/C5*C9)/(C8*C7))))*EXP(-(MOD((134/80*(60/C5)),(60/C5))-(60/C5*C9))/(C8*C7))))*1000</f>
        <v/>
      </c>
      <c r="F163" s="25">
        <f>IF(AND(MOD((134/80*(60/C5)),(60/C5))&lt;(60/C5*C9),MOD((134/80*(60/C5)),(60/C5))&lt;C12),-ABS(C11)*SIN(PI()*MOD((134/80*(60/C5)),(60/C5))/C12),0)</f>
        <v/>
      </c>
      <c r="G163" s="25">
        <f>C6*(C10/(C7+C10))+(E163/1000)/C10+F163</f>
        <v/>
      </c>
      <c r="H163" s="25">
        <f>C163-G163</f>
        <v/>
      </c>
      <c r="I163" s="25">
        <f>C6+(E163/1000)/C7</f>
        <v/>
      </c>
    </row>
    <row r="164" ht="12.95" customHeight="1" s="44">
      <c r="B164" s="27">
        <f>(135/80*(60/C5))</f>
        <v/>
      </c>
      <c r="C164" s="27">
        <f>IF(MOD((135/80*(60/C5)),(60/C5))&lt;(60/C5*C9),C6+C4,C6)</f>
        <v/>
      </c>
      <c r="D164" s="27">
        <f>IF(MOD((135/80*(60/C5)),(60/C5))&lt;(60/C5*C9),((C6+C4)/C8)*EXP(-MOD((135/80*(60/C5)),(60/C5))/(C8*C7))*60,-(((C6+C4)*C7*(1-EXP(-(60/C5*C9)/(C8*C7))))/(C8*C7))*EXP(-(MOD((135/80*(60/C5)),(60/C5))-(60/C5*C9))/(C8*C7))*60)</f>
        <v/>
      </c>
      <c r="E164" s="28">
        <f>(IF(MOD((135/80*(60/C5)),(60/C5))&lt;(60/C5*C9),(C6+C4)*C7*(1-EXP(-MOD((135/80*(60/C5)),(60/C5))/(C8*C7))),((C6+C4)*C7*(1-EXP(-(60/C5*C9)/(C8*C7))))*EXP(-(MOD((135/80*(60/C5)),(60/C5))-(60/C5*C9))/(C8*C7))))*1000</f>
        <v/>
      </c>
      <c r="F164" s="27">
        <f>IF(AND(MOD((135/80*(60/C5)),(60/C5))&lt;(60/C5*C9),MOD((135/80*(60/C5)),(60/C5))&lt;C12),-ABS(C11)*SIN(PI()*MOD((135/80*(60/C5)),(60/C5))/C12),0)</f>
        <v/>
      </c>
      <c r="G164" s="27">
        <f>C6*(C10/(C7+C10))+(E164/1000)/C10+F164</f>
        <v/>
      </c>
      <c r="H164" s="27">
        <f>C164-G164</f>
        <v/>
      </c>
      <c r="I164" s="27">
        <f>C6+(E164/1000)/C7</f>
        <v/>
      </c>
    </row>
    <row r="165" ht="12.95" customHeight="1" s="44">
      <c r="B165" s="25">
        <f>(136/80*(60/C5))</f>
        <v/>
      </c>
      <c r="C165" s="25">
        <f>IF(MOD((136/80*(60/C5)),(60/C5))&lt;(60/C5*C9),C6+C4,C6)</f>
        <v/>
      </c>
      <c r="D165" s="25">
        <f>IF(MOD((136/80*(60/C5)),(60/C5))&lt;(60/C5*C9),((C6+C4)/C8)*EXP(-MOD((136/80*(60/C5)),(60/C5))/(C8*C7))*60,-(((C6+C4)*C7*(1-EXP(-(60/C5*C9)/(C8*C7))))/(C8*C7))*EXP(-(MOD((136/80*(60/C5)),(60/C5))-(60/C5*C9))/(C8*C7))*60)</f>
        <v/>
      </c>
      <c r="E165" s="26">
        <f>(IF(MOD((136/80*(60/C5)),(60/C5))&lt;(60/C5*C9),(C6+C4)*C7*(1-EXP(-MOD((136/80*(60/C5)),(60/C5))/(C8*C7))),((C6+C4)*C7*(1-EXP(-(60/C5*C9)/(C8*C7))))*EXP(-(MOD((136/80*(60/C5)),(60/C5))-(60/C5*C9))/(C8*C7))))*1000</f>
        <v/>
      </c>
      <c r="F165" s="25">
        <f>IF(AND(MOD((136/80*(60/C5)),(60/C5))&lt;(60/C5*C9),MOD((136/80*(60/C5)),(60/C5))&lt;C12),-ABS(C11)*SIN(PI()*MOD((136/80*(60/C5)),(60/C5))/C12),0)</f>
        <v/>
      </c>
      <c r="G165" s="25">
        <f>C6*(C10/(C7+C10))+(E165/1000)/C10+F165</f>
        <v/>
      </c>
      <c r="H165" s="25">
        <f>C165-G165</f>
        <v/>
      </c>
      <c r="I165" s="25">
        <f>C6+(E165/1000)/C7</f>
        <v/>
      </c>
    </row>
    <row r="166" ht="12.95" customHeight="1" s="44">
      <c r="B166" s="27">
        <f>(137/80*(60/C5))</f>
        <v/>
      </c>
      <c r="C166" s="27">
        <f>IF(MOD((137/80*(60/C5)),(60/C5))&lt;(60/C5*C9),C6+C4,C6)</f>
        <v/>
      </c>
      <c r="D166" s="27">
        <f>IF(MOD((137/80*(60/C5)),(60/C5))&lt;(60/C5*C9),((C6+C4)/C8)*EXP(-MOD((137/80*(60/C5)),(60/C5))/(C8*C7))*60,-(((C6+C4)*C7*(1-EXP(-(60/C5*C9)/(C8*C7))))/(C8*C7))*EXP(-(MOD((137/80*(60/C5)),(60/C5))-(60/C5*C9))/(C8*C7))*60)</f>
        <v/>
      </c>
      <c r="E166" s="28">
        <f>(IF(MOD((137/80*(60/C5)),(60/C5))&lt;(60/C5*C9),(C6+C4)*C7*(1-EXP(-MOD((137/80*(60/C5)),(60/C5))/(C8*C7))),((C6+C4)*C7*(1-EXP(-(60/C5*C9)/(C8*C7))))*EXP(-(MOD((137/80*(60/C5)),(60/C5))-(60/C5*C9))/(C8*C7))))*1000</f>
        <v/>
      </c>
      <c r="F166" s="27">
        <f>IF(AND(MOD((137/80*(60/C5)),(60/C5))&lt;(60/C5*C9),MOD((137/80*(60/C5)),(60/C5))&lt;C12),-ABS(C11)*SIN(PI()*MOD((137/80*(60/C5)),(60/C5))/C12),0)</f>
        <v/>
      </c>
      <c r="G166" s="27">
        <f>C6*(C10/(C7+C10))+(E166/1000)/C10+F166</f>
        <v/>
      </c>
      <c r="H166" s="27">
        <f>C166-G166</f>
        <v/>
      </c>
      <c r="I166" s="27">
        <f>C6+(E166/1000)/C7</f>
        <v/>
      </c>
    </row>
    <row r="167" ht="12.95" customHeight="1" s="44">
      <c r="B167" s="25">
        <f>(138/80*(60/C5))</f>
        <v/>
      </c>
      <c r="C167" s="25">
        <f>IF(MOD((138/80*(60/C5)),(60/C5))&lt;(60/C5*C9),C6+C4,C6)</f>
        <v/>
      </c>
      <c r="D167" s="25">
        <f>IF(MOD((138/80*(60/C5)),(60/C5))&lt;(60/C5*C9),((C6+C4)/C8)*EXP(-MOD((138/80*(60/C5)),(60/C5))/(C8*C7))*60,-(((C6+C4)*C7*(1-EXP(-(60/C5*C9)/(C8*C7))))/(C8*C7))*EXP(-(MOD((138/80*(60/C5)),(60/C5))-(60/C5*C9))/(C8*C7))*60)</f>
        <v/>
      </c>
      <c r="E167" s="26">
        <f>(IF(MOD((138/80*(60/C5)),(60/C5))&lt;(60/C5*C9),(C6+C4)*C7*(1-EXP(-MOD((138/80*(60/C5)),(60/C5))/(C8*C7))),((C6+C4)*C7*(1-EXP(-(60/C5*C9)/(C8*C7))))*EXP(-(MOD((138/80*(60/C5)),(60/C5))-(60/C5*C9))/(C8*C7))))*1000</f>
        <v/>
      </c>
      <c r="F167" s="25">
        <f>IF(AND(MOD((138/80*(60/C5)),(60/C5))&lt;(60/C5*C9),MOD((138/80*(60/C5)),(60/C5))&lt;C12),-ABS(C11)*SIN(PI()*MOD((138/80*(60/C5)),(60/C5))/C12),0)</f>
        <v/>
      </c>
      <c r="G167" s="25">
        <f>C6*(C10/(C7+C10))+(E167/1000)/C10+F167</f>
        <v/>
      </c>
      <c r="H167" s="25">
        <f>C167-G167</f>
        <v/>
      </c>
      <c r="I167" s="25">
        <f>C6+(E167/1000)/C7</f>
        <v/>
      </c>
    </row>
    <row r="168" ht="12.95" customHeight="1" s="44">
      <c r="B168" s="27">
        <f>(139/80*(60/C5))</f>
        <v/>
      </c>
      <c r="C168" s="27">
        <f>IF(MOD((139/80*(60/C5)),(60/C5))&lt;(60/C5*C9),C6+C4,C6)</f>
        <v/>
      </c>
      <c r="D168" s="27">
        <f>IF(MOD((139/80*(60/C5)),(60/C5))&lt;(60/C5*C9),((C6+C4)/C8)*EXP(-MOD((139/80*(60/C5)),(60/C5))/(C8*C7))*60,-(((C6+C4)*C7*(1-EXP(-(60/C5*C9)/(C8*C7))))/(C8*C7))*EXP(-(MOD((139/80*(60/C5)),(60/C5))-(60/C5*C9))/(C8*C7))*60)</f>
        <v/>
      </c>
      <c r="E168" s="28">
        <f>(IF(MOD((139/80*(60/C5)),(60/C5))&lt;(60/C5*C9),(C6+C4)*C7*(1-EXP(-MOD((139/80*(60/C5)),(60/C5))/(C8*C7))),((C6+C4)*C7*(1-EXP(-(60/C5*C9)/(C8*C7))))*EXP(-(MOD((139/80*(60/C5)),(60/C5))-(60/C5*C9))/(C8*C7))))*1000</f>
        <v/>
      </c>
      <c r="F168" s="27">
        <f>IF(AND(MOD((139/80*(60/C5)),(60/C5))&lt;(60/C5*C9),MOD((139/80*(60/C5)),(60/C5))&lt;C12),-ABS(C11)*SIN(PI()*MOD((139/80*(60/C5)),(60/C5))/C12),0)</f>
        <v/>
      </c>
      <c r="G168" s="27">
        <f>C6*(C10/(C7+C10))+(E168/1000)/C10+F168</f>
        <v/>
      </c>
      <c r="H168" s="27">
        <f>C168-G168</f>
        <v/>
      </c>
      <c r="I168" s="27">
        <f>C6+(E168/1000)/C7</f>
        <v/>
      </c>
    </row>
    <row r="169" ht="12.95" customHeight="1" s="44">
      <c r="B169" s="25">
        <f>(140/80*(60/C5))</f>
        <v/>
      </c>
      <c r="C169" s="25">
        <f>IF(MOD((140/80*(60/C5)),(60/C5))&lt;(60/C5*C9),C6+C4,C6)</f>
        <v/>
      </c>
      <c r="D169" s="25">
        <f>IF(MOD((140/80*(60/C5)),(60/C5))&lt;(60/C5*C9),((C6+C4)/C8)*EXP(-MOD((140/80*(60/C5)),(60/C5))/(C8*C7))*60,-(((C6+C4)*C7*(1-EXP(-(60/C5*C9)/(C8*C7))))/(C8*C7))*EXP(-(MOD((140/80*(60/C5)),(60/C5))-(60/C5*C9))/(C8*C7))*60)</f>
        <v/>
      </c>
      <c r="E169" s="26">
        <f>(IF(MOD((140/80*(60/C5)),(60/C5))&lt;(60/C5*C9),(C6+C4)*C7*(1-EXP(-MOD((140/80*(60/C5)),(60/C5))/(C8*C7))),((C6+C4)*C7*(1-EXP(-(60/C5*C9)/(C8*C7))))*EXP(-(MOD((140/80*(60/C5)),(60/C5))-(60/C5*C9))/(C8*C7))))*1000</f>
        <v/>
      </c>
      <c r="F169" s="25">
        <f>IF(AND(MOD((140/80*(60/C5)),(60/C5))&lt;(60/C5*C9),MOD((140/80*(60/C5)),(60/C5))&lt;C12),-ABS(C11)*SIN(PI()*MOD((140/80*(60/C5)),(60/C5))/C12),0)</f>
        <v/>
      </c>
      <c r="G169" s="25">
        <f>C6*(C10/(C7+C10))+(E169/1000)/C10+F169</f>
        <v/>
      </c>
      <c r="H169" s="25">
        <f>C169-G169</f>
        <v/>
      </c>
      <c r="I169" s="25">
        <f>C6+(E169/1000)/C7</f>
        <v/>
      </c>
    </row>
    <row r="170" ht="12.95" customHeight="1" s="44">
      <c r="B170" s="27">
        <f>(141/80*(60/C5))</f>
        <v/>
      </c>
      <c r="C170" s="27">
        <f>IF(MOD((141/80*(60/C5)),(60/C5))&lt;(60/C5*C9),C6+C4,C6)</f>
        <v/>
      </c>
      <c r="D170" s="27">
        <f>IF(MOD((141/80*(60/C5)),(60/C5))&lt;(60/C5*C9),((C6+C4)/C8)*EXP(-MOD((141/80*(60/C5)),(60/C5))/(C8*C7))*60,-(((C6+C4)*C7*(1-EXP(-(60/C5*C9)/(C8*C7))))/(C8*C7))*EXP(-(MOD((141/80*(60/C5)),(60/C5))-(60/C5*C9))/(C8*C7))*60)</f>
        <v/>
      </c>
      <c r="E170" s="28">
        <f>(IF(MOD((141/80*(60/C5)),(60/C5))&lt;(60/C5*C9),(C6+C4)*C7*(1-EXP(-MOD((141/80*(60/C5)),(60/C5))/(C8*C7))),((C6+C4)*C7*(1-EXP(-(60/C5*C9)/(C8*C7))))*EXP(-(MOD((141/80*(60/C5)),(60/C5))-(60/C5*C9))/(C8*C7))))*1000</f>
        <v/>
      </c>
      <c r="F170" s="27">
        <f>IF(AND(MOD((141/80*(60/C5)),(60/C5))&lt;(60/C5*C9),MOD((141/80*(60/C5)),(60/C5))&lt;C12),-ABS(C11)*SIN(PI()*MOD((141/80*(60/C5)),(60/C5))/C12),0)</f>
        <v/>
      </c>
      <c r="G170" s="27">
        <f>C6*(C10/(C7+C10))+(E170/1000)/C10+F170</f>
        <v/>
      </c>
      <c r="H170" s="27">
        <f>C170-G170</f>
        <v/>
      </c>
      <c r="I170" s="27">
        <f>C6+(E170/1000)/C7</f>
        <v/>
      </c>
    </row>
    <row r="171" ht="12.95" customHeight="1" s="44">
      <c r="B171" s="25">
        <f>(142/80*(60/C5))</f>
        <v/>
      </c>
      <c r="C171" s="25">
        <f>IF(MOD((142/80*(60/C5)),(60/C5))&lt;(60/C5*C9),C6+C4,C6)</f>
        <v/>
      </c>
      <c r="D171" s="25">
        <f>IF(MOD((142/80*(60/C5)),(60/C5))&lt;(60/C5*C9),((C6+C4)/C8)*EXP(-MOD((142/80*(60/C5)),(60/C5))/(C8*C7))*60,-(((C6+C4)*C7*(1-EXP(-(60/C5*C9)/(C8*C7))))/(C8*C7))*EXP(-(MOD((142/80*(60/C5)),(60/C5))-(60/C5*C9))/(C8*C7))*60)</f>
        <v/>
      </c>
      <c r="E171" s="26">
        <f>(IF(MOD((142/80*(60/C5)),(60/C5))&lt;(60/C5*C9),(C6+C4)*C7*(1-EXP(-MOD((142/80*(60/C5)),(60/C5))/(C8*C7))),((C6+C4)*C7*(1-EXP(-(60/C5*C9)/(C8*C7))))*EXP(-(MOD((142/80*(60/C5)),(60/C5))-(60/C5*C9))/(C8*C7))))*1000</f>
        <v/>
      </c>
      <c r="F171" s="25">
        <f>IF(AND(MOD((142/80*(60/C5)),(60/C5))&lt;(60/C5*C9),MOD((142/80*(60/C5)),(60/C5))&lt;C12),-ABS(C11)*SIN(PI()*MOD((142/80*(60/C5)),(60/C5))/C12),0)</f>
        <v/>
      </c>
      <c r="G171" s="25">
        <f>C6*(C10/(C7+C10))+(E171/1000)/C10+F171</f>
        <v/>
      </c>
      <c r="H171" s="25">
        <f>C171-G171</f>
        <v/>
      </c>
      <c r="I171" s="25">
        <f>C6+(E171/1000)/C7</f>
        <v/>
      </c>
    </row>
    <row r="172" ht="12.95" customHeight="1" s="44">
      <c r="B172" s="27">
        <f>(143/80*(60/C5))</f>
        <v/>
      </c>
      <c r="C172" s="27">
        <f>IF(MOD((143/80*(60/C5)),(60/C5))&lt;(60/C5*C9),C6+C4,C6)</f>
        <v/>
      </c>
      <c r="D172" s="27">
        <f>IF(MOD((143/80*(60/C5)),(60/C5))&lt;(60/C5*C9),((C6+C4)/C8)*EXP(-MOD((143/80*(60/C5)),(60/C5))/(C8*C7))*60,-(((C6+C4)*C7*(1-EXP(-(60/C5*C9)/(C8*C7))))/(C8*C7))*EXP(-(MOD((143/80*(60/C5)),(60/C5))-(60/C5*C9))/(C8*C7))*60)</f>
        <v/>
      </c>
      <c r="E172" s="28">
        <f>(IF(MOD((143/80*(60/C5)),(60/C5))&lt;(60/C5*C9),(C6+C4)*C7*(1-EXP(-MOD((143/80*(60/C5)),(60/C5))/(C8*C7))),((C6+C4)*C7*(1-EXP(-(60/C5*C9)/(C8*C7))))*EXP(-(MOD((143/80*(60/C5)),(60/C5))-(60/C5*C9))/(C8*C7))))*1000</f>
        <v/>
      </c>
      <c r="F172" s="27">
        <f>IF(AND(MOD((143/80*(60/C5)),(60/C5))&lt;(60/C5*C9),MOD((143/80*(60/C5)),(60/C5))&lt;C12),-ABS(C11)*SIN(PI()*MOD((143/80*(60/C5)),(60/C5))/C12),0)</f>
        <v/>
      </c>
      <c r="G172" s="27">
        <f>C6*(C10/(C7+C10))+(E172/1000)/C10+F172</f>
        <v/>
      </c>
      <c r="H172" s="27">
        <f>C172-G172</f>
        <v/>
      </c>
      <c r="I172" s="27">
        <f>C6+(E172/1000)/C7</f>
        <v/>
      </c>
    </row>
    <row r="173" ht="12.95" customHeight="1" s="44">
      <c r="B173" s="25">
        <f>(144/80*(60/C5))</f>
        <v/>
      </c>
      <c r="C173" s="25">
        <f>IF(MOD((144/80*(60/C5)),(60/C5))&lt;(60/C5*C9),C6+C4,C6)</f>
        <v/>
      </c>
      <c r="D173" s="25">
        <f>IF(MOD((144/80*(60/C5)),(60/C5))&lt;(60/C5*C9),((C6+C4)/C8)*EXP(-MOD((144/80*(60/C5)),(60/C5))/(C8*C7))*60,-(((C6+C4)*C7*(1-EXP(-(60/C5*C9)/(C8*C7))))/(C8*C7))*EXP(-(MOD((144/80*(60/C5)),(60/C5))-(60/C5*C9))/(C8*C7))*60)</f>
        <v/>
      </c>
      <c r="E173" s="26">
        <f>(IF(MOD((144/80*(60/C5)),(60/C5))&lt;(60/C5*C9),(C6+C4)*C7*(1-EXP(-MOD((144/80*(60/C5)),(60/C5))/(C8*C7))),((C6+C4)*C7*(1-EXP(-(60/C5*C9)/(C8*C7))))*EXP(-(MOD((144/80*(60/C5)),(60/C5))-(60/C5*C9))/(C8*C7))))*1000</f>
        <v/>
      </c>
      <c r="F173" s="25">
        <f>IF(AND(MOD((144/80*(60/C5)),(60/C5))&lt;(60/C5*C9),MOD((144/80*(60/C5)),(60/C5))&lt;C12),-ABS(C11)*SIN(PI()*MOD((144/80*(60/C5)),(60/C5))/C12),0)</f>
        <v/>
      </c>
      <c r="G173" s="25">
        <f>C6*(C10/(C7+C10))+(E173/1000)/C10+F173</f>
        <v/>
      </c>
      <c r="H173" s="25">
        <f>C173-G173</f>
        <v/>
      </c>
      <c r="I173" s="25">
        <f>C6+(E173/1000)/C7</f>
        <v/>
      </c>
    </row>
    <row r="174" ht="12.95" customHeight="1" s="44">
      <c r="B174" s="27">
        <f>(145/80*(60/C5))</f>
        <v/>
      </c>
      <c r="C174" s="27">
        <f>IF(MOD((145/80*(60/C5)),(60/C5))&lt;(60/C5*C9),C6+C4,C6)</f>
        <v/>
      </c>
      <c r="D174" s="27">
        <f>IF(MOD((145/80*(60/C5)),(60/C5))&lt;(60/C5*C9),((C6+C4)/C8)*EXP(-MOD((145/80*(60/C5)),(60/C5))/(C8*C7))*60,-(((C6+C4)*C7*(1-EXP(-(60/C5*C9)/(C8*C7))))/(C8*C7))*EXP(-(MOD((145/80*(60/C5)),(60/C5))-(60/C5*C9))/(C8*C7))*60)</f>
        <v/>
      </c>
      <c r="E174" s="28">
        <f>(IF(MOD((145/80*(60/C5)),(60/C5))&lt;(60/C5*C9),(C6+C4)*C7*(1-EXP(-MOD((145/80*(60/C5)),(60/C5))/(C8*C7))),((C6+C4)*C7*(1-EXP(-(60/C5*C9)/(C8*C7))))*EXP(-(MOD((145/80*(60/C5)),(60/C5))-(60/C5*C9))/(C8*C7))))*1000</f>
        <v/>
      </c>
      <c r="F174" s="27">
        <f>IF(AND(MOD((145/80*(60/C5)),(60/C5))&lt;(60/C5*C9),MOD((145/80*(60/C5)),(60/C5))&lt;C12),-ABS(C11)*SIN(PI()*MOD((145/80*(60/C5)),(60/C5))/C12),0)</f>
        <v/>
      </c>
      <c r="G174" s="27">
        <f>C6*(C10/(C7+C10))+(E174/1000)/C10+F174</f>
        <v/>
      </c>
      <c r="H174" s="27">
        <f>C174-G174</f>
        <v/>
      </c>
      <c r="I174" s="27">
        <f>C6+(E174/1000)/C7</f>
        <v/>
      </c>
    </row>
    <row r="175" ht="12.95" customHeight="1" s="44">
      <c r="B175" s="25">
        <f>(146/80*(60/C5))</f>
        <v/>
      </c>
      <c r="C175" s="25">
        <f>IF(MOD((146/80*(60/C5)),(60/C5))&lt;(60/C5*C9),C6+C4,C6)</f>
        <v/>
      </c>
      <c r="D175" s="25">
        <f>IF(MOD((146/80*(60/C5)),(60/C5))&lt;(60/C5*C9),((C6+C4)/C8)*EXP(-MOD((146/80*(60/C5)),(60/C5))/(C8*C7))*60,-(((C6+C4)*C7*(1-EXP(-(60/C5*C9)/(C8*C7))))/(C8*C7))*EXP(-(MOD((146/80*(60/C5)),(60/C5))-(60/C5*C9))/(C8*C7))*60)</f>
        <v/>
      </c>
      <c r="E175" s="26">
        <f>(IF(MOD((146/80*(60/C5)),(60/C5))&lt;(60/C5*C9),(C6+C4)*C7*(1-EXP(-MOD((146/80*(60/C5)),(60/C5))/(C8*C7))),((C6+C4)*C7*(1-EXP(-(60/C5*C9)/(C8*C7))))*EXP(-(MOD((146/80*(60/C5)),(60/C5))-(60/C5*C9))/(C8*C7))))*1000</f>
        <v/>
      </c>
      <c r="F175" s="25">
        <f>IF(AND(MOD((146/80*(60/C5)),(60/C5))&lt;(60/C5*C9),MOD((146/80*(60/C5)),(60/C5))&lt;C12),-ABS(C11)*SIN(PI()*MOD((146/80*(60/C5)),(60/C5))/C12),0)</f>
        <v/>
      </c>
      <c r="G175" s="25">
        <f>C6*(C10/(C7+C10))+(E175/1000)/C10+F175</f>
        <v/>
      </c>
      <c r="H175" s="25">
        <f>C175-G175</f>
        <v/>
      </c>
      <c r="I175" s="25">
        <f>C6+(E175/1000)/C7</f>
        <v/>
      </c>
    </row>
    <row r="176" ht="12.95" customHeight="1" s="44">
      <c r="B176" s="27">
        <f>(147/80*(60/C5))</f>
        <v/>
      </c>
      <c r="C176" s="27">
        <f>IF(MOD((147/80*(60/C5)),(60/C5))&lt;(60/C5*C9),C6+C4,C6)</f>
        <v/>
      </c>
      <c r="D176" s="27">
        <f>IF(MOD((147/80*(60/C5)),(60/C5))&lt;(60/C5*C9),((C6+C4)/C8)*EXP(-MOD((147/80*(60/C5)),(60/C5))/(C8*C7))*60,-(((C6+C4)*C7*(1-EXP(-(60/C5*C9)/(C8*C7))))/(C8*C7))*EXP(-(MOD((147/80*(60/C5)),(60/C5))-(60/C5*C9))/(C8*C7))*60)</f>
        <v/>
      </c>
      <c r="E176" s="28">
        <f>(IF(MOD((147/80*(60/C5)),(60/C5))&lt;(60/C5*C9),(C6+C4)*C7*(1-EXP(-MOD((147/80*(60/C5)),(60/C5))/(C8*C7))),((C6+C4)*C7*(1-EXP(-(60/C5*C9)/(C8*C7))))*EXP(-(MOD((147/80*(60/C5)),(60/C5))-(60/C5*C9))/(C8*C7))))*1000</f>
        <v/>
      </c>
      <c r="F176" s="27">
        <f>IF(AND(MOD((147/80*(60/C5)),(60/C5))&lt;(60/C5*C9),MOD((147/80*(60/C5)),(60/C5))&lt;C12),-ABS(C11)*SIN(PI()*MOD((147/80*(60/C5)),(60/C5))/C12),0)</f>
        <v/>
      </c>
      <c r="G176" s="27">
        <f>C6*(C10/(C7+C10))+(E176/1000)/C10+F176</f>
        <v/>
      </c>
      <c r="H176" s="27">
        <f>C176-G176</f>
        <v/>
      </c>
      <c r="I176" s="27">
        <f>C6+(E176/1000)/C7</f>
        <v/>
      </c>
    </row>
    <row r="177" ht="12.95" customHeight="1" s="44">
      <c r="B177" s="25">
        <f>(148/80*(60/C5))</f>
        <v/>
      </c>
      <c r="C177" s="25">
        <f>IF(MOD((148/80*(60/C5)),(60/C5))&lt;(60/C5*C9),C6+C4,C6)</f>
        <v/>
      </c>
      <c r="D177" s="25">
        <f>IF(MOD((148/80*(60/C5)),(60/C5))&lt;(60/C5*C9),((C6+C4)/C8)*EXP(-MOD((148/80*(60/C5)),(60/C5))/(C8*C7))*60,-(((C6+C4)*C7*(1-EXP(-(60/C5*C9)/(C8*C7))))/(C8*C7))*EXP(-(MOD((148/80*(60/C5)),(60/C5))-(60/C5*C9))/(C8*C7))*60)</f>
        <v/>
      </c>
      <c r="E177" s="26">
        <f>(IF(MOD((148/80*(60/C5)),(60/C5))&lt;(60/C5*C9),(C6+C4)*C7*(1-EXP(-MOD((148/80*(60/C5)),(60/C5))/(C8*C7))),((C6+C4)*C7*(1-EXP(-(60/C5*C9)/(C8*C7))))*EXP(-(MOD((148/80*(60/C5)),(60/C5))-(60/C5*C9))/(C8*C7))))*1000</f>
        <v/>
      </c>
      <c r="F177" s="25">
        <f>IF(AND(MOD((148/80*(60/C5)),(60/C5))&lt;(60/C5*C9),MOD((148/80*(60/C5)),(60/C5))&lt;C12),-ABS(C11)*SIN(PI()*MOD((148/80*(60/C5)),(60/C5))/C12),0)</f>
        <v/>
      </c>
      <c r="G177" s="25">
        <f>C6*(C10/(C7+C10))+(E177/1000)/C10+F177</f>
        <v/>
      </c>
      <c r="H177" s="25">
        <f>C177-G177</f>
        <v/>
      </c>
      <c r="I177" s="25">
        <f>C6+(E177/1000)/C7</f>
        <v/>
      </c>
    </row>
    <row r="178" ht="12.95" customHeight="1" s="44">
      <c r="B178" s="27">
        <f>(149/80*(60/C5))</f>
        <v/>
      </c>
      <c r="C178" s="27">
        <f>IF(MOD((149/80*(60/C5)),(60/C5))&lt;(60/C5*C9),C6+C4,C6)</f>
        <v/>
      </c>
      <c r="D178" s="27">
        <f>IF(MOD((149/80*(60/C5)),(60/C5))&lt;(60/C5*C9),((C6+C4)/C8)*EXP(-MOD((149/80*(60/C5)),(60/C5))/(C8*C7))*60,-(((C6+C4)*C7*(1-EXP(-(60/C5*C9)/(C8*C7))))/(C8*C7))*EXP(-(MOD((149/80*(60/C5)),(60/C5))-(60/C5*C9))/(C8*C7))*60)</f>
        <v/>
      </c>
      <c r="E178" s="28">
        <f>(IF(MOD((149/80*(60/C5)),(60/C5))&lt;(60/C5*C9),(C6+C4)*C7*(1-EXP(-MOD((149/80*(60/C5)),(60/C5))/(C8*C7))),((C6+C4)*C7*(1-EXP(-(60/C5*C9)/(C8*C7))))*EXP(-(MOD((149/80*(60/C5)),(60/C5))-(60/C5*C9))/(C8*C7))))*1000</f>
        <v/>
      </c>
      <c r="F178" s="27">
        <f>IF(AND(MOD((149/80*(60/C5)),(60/C5))&lt;(60/C5*C9),MOD((149/80*(60/C5)),(60/C5))&lt;C12),-ABS(C11)*SIN(PI()*MOD((149/80*(60/C5)),(60/C5))/C12),0)</f>
        <v/>
      </c>
      <c r="G178" s="27">
        <f>C6*(C10/(C7+C10))+(E178/1000)/C10+F178</f>
        <v/>
      </c>
      <c r="H178" s="27">
        <f>C178-G178</f>
        <v/>
      </c>
      <c r="I178" s="27">
        <f>C6+(E178/1000)/C7</f>
        <v/>
      </c>
    </row>
    <row r="179" ht="12.95" customHeight="1" s="44">
      <c r="B179" s="25">
        <f>(150/80*(60/C5))</f>
        <v/>
      </c>
      <c r="C179" s="25">
        <f>IF(MOD((150/80*(60/C5)),(60/C5))&lt;(60/C5*C9),C6+C4,C6)</f>
        <v/>
      </c>
      <c r="D179" s="25">
        <f>IF(MOD((150/80*(60/C5)),(60/C5))&lt;(60/C5*C9),((C6+C4)/C8)*EXP(-MOD((150/80*(60/C5)),(60/C5))/(C8*C7))*60,-(((C6+C4)*C7*(1-EXP(-(60/C5*C9)/(C8*C7))))/(C8*C7))*EXP(-(MOD((150/80*(60/C5)),(60/C5))-(60/C5*C9))/(C8*C7))*60)</f>
        <v/>
      </c>
      <c r="E179" s="26">
        <f>(IF(MOD((150/80*(60/C5)),(60/C5))&lt;(60/C5*C9),(C6+C4)*C7*(1-EXP(-MOD((150/80*(60/C5)),(60/C5))/(C8*C7))),((C6+C4)*C7*(1-EXP(-(60/C5*C9)/(C8*C7))))*EXP(-(MOD((150/80*(60/C5)),(60/C5))-(60/C5*C9))/(C8*C7))))*1000</f>
        <v/>
      </c>
      <c r="F179" s="25">
        <f>IF(AND(MOD((150/80*(60/C5)),(60/C5))&lt;(60/C5*C9),MOD((150/80*(60/C5)),(60/C5))&lt;C12),-ABS(C11)*SIN(PI()*MOD((150/80*(60/C5)),(60/C5))/C12),0)</f>
        <v/>
      </c>
      <c r="G179" s="25">
        <f>C6*(C10/(C7+C10))+(E179/1000)/C10+F179</f>
        <v/>
      </c>
      <c r="H179" s="25">
        <f>C179-G179</f>
        <v/>
      </c>
      <c r="I179" s="25">
        <f>C6+(E179/1000)/C7</f>
        <v/>
      </c>
    </row>
    <row r="180" ht="12.95" customHeight="1" s="44">
      <c r="B180" s="27">
        <f>(151/80*(60/C5))</f>
        <v/>
      </c>
      <c r="C180" s="27">
        <f>IF(MOD((151/80*(60/C5)),(60/C5))&lt;(60/C5*C9),C6+C4,C6)</f>
        <v/>
      </c>
      <c r="D180" s="27">
        <f>IF(MOD((151/80*(60/C5)),(60/C5))&lt;(60/C5*C9),((C6+C4)/C8)*EXP(-MOD((151/80*(60/C5)),(60/C5))/(C8*C7))*60,-(((C6+C4)*C7*(1-EXP(-(60/C5*C9)/(C8*C7))))/(C8*C7))*EXP(-(MOD((151/80*(60/C5)),(60/C5))-(60/C5*C9))/(C8*C7))*60)</f>
        <v/>
      </c>
      <c r="E180" s="28">
        <f>(IF(MOD((151/80*(60/C5)),(60/C5))&lt;(60/C5*C9),(C6+C4)*C7*(1-EXP(-MOD((151/80*(60/C5)),(60/C5))/(C8*C7))),((C6+C4)*C7*(1-EXP(-(60/C5*C9)/(C8*C7))))*EXP(-(MOD((151/80*(60/C5)),(60/C5))-(60/C5*C9))/(C8*C7))))*1000</f>
        <v/>
      </c>
      <c r="F180" s="27">
        <f>IF(AND(MOD((151/80*(60/C5)),(60/C5))&lt;(60/C5*C9),MOD((151/80*(60/C5)),(60/C5))&lt;C12),-ABS(C11)*SIN(PI()*MOD((151/80*(60/C5)),(60/C5))/C12),0)</f>
        <v/>
      </c>
      <c r="G180" s="27">
        <f>C6*(C10/(C7+C10))+(E180/1000)/C10+F180</f>
        <v/>
      </c>
      <c r="H180" s="27">
        <f>C180-G180</f>
        <v/>
      </c>
      <c r="I180" s="27">
        <f>C6+(E180/1000)/C7</f>
        <v/>
      </c>
    </row>
    <row r="181" ht="12.95" customHeight="1" s="44">
      <c r="B181" s="25">
        <f>(152/80*(60/C5))</f>
        <v/>
      </c>
      <c r="C181" s="25">
        <f>IF(MOD((152/80*(60/C5)),(60/C5))&lt;(60/C5*C9),C6+C4,C6)</f>
        <v/>
      </c>
      <c r="D181" s="25">
        <f>IF(MOD((152/80*(60/C5)),(60/C5))&lt;(60/C5*C9),((C6+C4)/C8)*EXP(-MOD((152/80*(60/C5)),(60/C5))/(C8*C7))*60,-(((C6+C4)*C7*(1-EXP(-(60/C5*C9)/(C8*C7))))/(C8*C7))*EXP(-(MOD((152/80*(60/C5)),(60/C5))-(60/C5*C9))/(C8*C7))*60)</f>
        <v/>
      </c>
      <c r="E181" s="26">
        <f>(IF(MOD((152/80*(60/C5)),(60/C5))&lt;(60/C5*C9),(C6+C4)*C7*(1-EXP(-MOD((152/80*(60/C5)),(60/C5))/(C8*C7))),((C6+C4)*C7*(1-EXP(-(60/C5*C9)/(C8*C7))))*EXP(-(MOD((152/80*(60/C5)),(60/C5))-(60/C5*C9))/(C8*C7))))*1000</f>
        <v/>
      </c>
      <c r="F181" s="25">
        <f>IF(AND(MOD((152/80*(60/C5)),(60/C5))&lt;(60/C5*C9),MOD((152/80*(60/C5)),(60/C5))&lt;C12),-ABS(C11)*SIN(PI()*MOD((152/80*(60/C5)),(60/C5))/C12),0)</f>
        <v/>
      </c>
      <c r="G181" s="25">
        <f>C6*(C10/(C7+C10))+(E181/1000)/C10+F181</f>
        <v/>
      </c>
      <c r="H181" s="25">
        <f>C181-G181</f>
        <v/>
      </c>
      <c r="I181" s="25">
        <f>C6+(E181/1000)/C7</f>
        <v/>
      </c>
    </row>
    <row r="182" ht="12.95" customHeight="1" s="44">
      <c r="B182" s="27">
        <f>(153/80*(60/C5))</f>
        <v/>
      </c>
      <c r="C182" s="27">
        <f>IF(MOD((153/80*(60/C5)),(60/C5))&lt;(60/C5*C9),C6+C4,C6)</f>
        <v/>
      </c>
      <c r="D182" s="27">
        <f>IF(MOD((153/80*(60/C5)),(60/C5))&lt;(60/C5*C9),((C6+C4)/C8)*EXP(-MOD((153/80*(60/C5)),(60/C5))/(C8*C7))*60,-(((C6+C4)*C7*(1-EXP(-(60/C5*C9)/(C8*C7))))/(C8*C7))*EXP(-(MOD((153/80*(60/C5)),(60/C5))-(60/C5*C9))/(C8*C7))*60)</f>
        <v/>
      </c>
      <c r="E182" s="28">
        <f>(IF(MOD((153/80*(60/C5)),(60/C5))&lt;(60/C5*C9),(C6+C4)*C7*(1-EXP(-MOD((153/80*(60/C5)),(60/C5))/(C8*C7))),((C6+C4)*C7*(1-EXP(-(60/C5*C9)/(C8*C7))))*EXP(-(MOD((153/80*(60/C5)),(60/C5))-(60/C5*C9))/(C8*C7))))*1000</f>
        <v/>
      </c>
      <c r="F182" s="27">
        <f>IF(AND(MOD((153/80*(60/C5)),(60/C5))&lt;(60/C5*C9),MOD((153/80*(60/C5)),(60/C5))&lt;C12),-ABS(C11)*SIN(PI()*MOD((153/80*(60/C5)),(60/C5))/C12),0)</f>
        <v/>
      </c>
      <c r="G182" s="27">
        <f>C6*(C10/(C7+C10))+(E182/1000)/C10+F182</f>
        <v/>
      </c>
      <c r="H182" s="27">
        <f>C182-G182</f>
        <v/>
      </c>
      <c r="I182" s="27">
        <f>C6+(E182/1000)/C7</f>
        <v/>
      </c>
    </row>
    <row r="183" ht="12.95" customHeight="1" s="44">
      <c r="B183" s="25">
        <f>(154/80*(60/C5))</f>
        <v/>
      </c>
      <c r="C183" s="25">
        <f>IF(MOD((154/80*(60/C5)),(60/C5))&lt;(60/C5*C9),C6+C4,C6)</f>
        <v/>
      </c>
      <c r="D183" s="25">
        <f>IF(MOD((154/80*(60/C5)),(60/C5))&lt;(60/C5*C9),((C6+C4)/C8)*EXP(-MOD((154/80*(60/C5)),(60/C5))/(C8*C7))*60,-(((C6+C4)*C7*(1-EXP(-(60/C5*C9)/(C8*C7))))/(C8*C7))*EXP(-(MOD((154/80*(60/C5)),(60/C5))-(60/C5*C9))/(C8*C7))*60)</f>
        <v/>
      </c>
      <c r="E183" s="26">
        <f>(IF(MOD((154/80*(60/C5)),(60/C5))&lt;(60/C5*C9),(C6+C4)*C7*(1-EXP(-MOD((154/80*(60/C5)),(60/C5))/(C8*C7))),((C6+C4)*C7*(1-EXP(-(60/C5*C9)/(C8*C7))))*EXP(-(MOD((154/80*(60/C5)),(60/C5))-(60/C5*C9))/(C8*C7))))*1000</f>
        <v/>
      </c>
      <c r="F183" s="25">
        <f>IF(AND(MOD((154/80*(60/C5)),(60/C5))&lt;(60/C5*C9),MOD((154/80*(60/C5)),(60/C5))&lt;C12),-ABS(C11)*SIN(PI()*MOD((154/80*(60/C5)),(60/C5))/C12),0)</f>
        <v/>
      </c>
      <c r="G183" s="25">
        <f>C6*(C10/(C7+C10))+(E183/1000)/C10+F183</f>
        <v/>
      </c>
      <c r="H183" s="25">
        <f>C183-G183</f>
        <v/>
      </c>
      <c r="I183" s="25">
        <f>C6+(E183/1000)/C7</f>
        <v/>
      </c>
    </row>
    <row r="184" ht="12.95" customHeight="1" s="44">
      <c r="B184" s="27">
        <f>(155/80*(60/C5))</f>
        <v/>
      </c>
      <c r="C184" s="27">
        <f>IF(MOD((155/80*(60/C5)),(60/C5))&lt;(60/C5*C9),C6+C4,C6)</f>
        <v/>
      </c>
      <c r="D184" s="27">
        <f>IF(MOD((155/80*(60/C5)),(60/C5))&lt;(60/C5*C9),((C6+C4)/C8)*EXP(-MOD((155/80*(60/C5)),(60/C5))/(C8*C7))*60,-(((C6+C4)*C7*(1-EXP(-(60/C5*C9)/(C8*C7))))/(C8*C7))*EXP(-(MOD((155/80*(60/C5)),(60/C5))-(60/C5*C9))/(C8*C7))*60)</f>
        <v/>
      </c>
      <c r="E184" s="28">
        <f>(IF(MOD((155/80*(60/C5)),(60/C5))&lt;(60/C5*C9),(C6+C4)*C7*(1-EXP(-MOD((155/80*(60/C5)),(60/C5))/(C8*C7))),((C6+C4)*C7*(1-EXP(-(60/C5*C9)/(C8*C7))))*EXP(-(MOD((155/80*(60/C5)),(60/C5))-(60/C5*C9))/(C8*C7))))*1000</f>
        <v/>
      </c>
      <c r="F184" s="27">
        <f>IF(AND(MOD((155/80*(60/C5)),(60/C5))&lt;(60/C5*C9),MOD((155/80*(60/C5)),(60/C5))&lt;C12),-ABS(C11)*SIN(PI()*MOD((155/80*(60/C5)),(60/C5))/C12),0)</f>
        <v/>
      </c>
      <c r="G184" s="27">
        <f>C6*(C10/(C7+C10))+(E184/1000)/C10+F184</f>
        <v/>
      </c>
      <c r="H184" s="27">
        <f>C184-G184</f>
        <v/>
      </c>
      <c r="I184" s="27">
        <f>C6+(E184/1000)/C7</f>
        <v/>
      </c>
    </row>
    <row r="185" ht="12.95" customHeight="1" s="44">
      <c r="B185" s="25">
        <f>(156/80*(60/C5))</f>
        <v/>
      </c>
      <c r="C185" s="25">
        <f>IF(MOD((156/80*(60/C5)),(60/C5))&lt;(60/C5*C9),C6+C4,C6)</f>
        <v/>
      </c>
      <c r="D185" s="25">
        <f>IF(MOD((156/80*(60/C5)),(60/C5))&lt;(60/C5*C9),((C6+C4)/C8)*EXP(-MOD((156/80*(60/C5)),(60/C5))/(C8*C7))*60,-(((C6+C4)*C7*(1-EXP(-(60/C5*C9)/(C8*C7))))/(C8*C7))*EXP(-(MOD((156/80*(60/C5)),(60/C5))-(60/C5*C9))/(C8*C7))*60)</f>
        <v/>
      </c>
      <c r="E185" s="26">
        <f>(IF(MOD((156/80*(60/C5)),(60/C5))&lt;(60/C5*C9),(C6+C4)*C7*(1-EXP(-MOD((156/80*(60/C5)),(60/C5))/(C8*C7))),((C6+C4)*C7*(1-EXP(-(60/C5*C9)/(C8*C7))))*EXP(-(MOD((156/80*(60/C5)),(60/C5))-(60/C5*C9))/(C8*C7))))*1000</f>
        <v/>
      </c>
      <c r="F185" s="25">
        <f>IF(AND(MOD((156/80*(60/C5)),(60/C5))&lt;(60/C5*C9),MOD((156/80*(60/C5)),(60/C5))&lt;C12),-ABS(C11)*SIN(PI()*MOD((156/80*(60/C5)),(60/C5))/C12),0)</f>
        <v/>
      </c>
      <c r="G185" s="25">
        <f>C6*(C10/(C7+C10))+(E185/1000)/C10+F185</f>
        <v/>
      </c>
      <c r="H185" s="25">
        <f>C185-G185</f>
        <v/>
      </c>
      <c r="I185" s="25">
        <f>C6+(E185/1000)/C7</f>
        <v/>
      </c>
    </row>
    <row r="186" ht="12.95" customHeight="1" s="44">
      <c r="B186" s="27">
        <f>(157/80*(60/C5))</f>
        <v/>
      </c>
      <c r="C186" s="27">
        <f>IF(MOD((157/80*(60/C5)),(60/C5))&lt;(60/C5*C9),C6+C4,C6)</f>
        <v/>
      </c>
      <c r="D186" s="27">
        <f>IF(MOD((157/80*(60/C5)),(60/C5))&lt;(60/C5*C9),((C6+C4)/C8)*EXP(-MOD((157/80*(60/C5)),(60/C5))/(C8*C7))*60,-(((C6+C4)*C7*(1-EXP(-(60/C5*C9)/(C8*C7))))/(C8*C7))*EXP(-(MOD((157/80*(60/C5)),(60/C5))-(60/C5*C9))/(C8*C7))*60)</f>
        <v/>
      </c>
      <c r="E186" s="28">
        <f>(IF(MOD((157/80*(60/C5)),(60/C5))&lt;(60/C5*C9),(C6+C4)*C7*(1-EXP(-MOD((157/80*(60/C5)),(60/C5))/(C8*C7))),((C6+C4)*C7*(1-EXP(-(60/C5*C9)/(C8*C7))))*EXP(-(MOD((157/80*(60/C5)),(60/C5))-(60/C5*C9))/(C8*C7))))*1000</f>
        <v/>
      </c>
      <c r="F186" s="27">
        <f>IF(AND(MOD((157/80*(60/C5)),(60/C5))&lt;(60/C5*C9),MOD((157/80*(60/C5)),(60/C5))&lt;C12),-ABS(C11)*SIN(PI()*MOD((157/80*(60/C5)),(60/C5))/C12),0)</f>
        <v/>
      </c>
      <c r="G186" s="27">
        <f>C6*(C10/(C7+C10))+(E186/1000)/C10+F186</f>
        <v/>
      </c>
      <c r="H186" s="27">
        <f>C186-G186</f>
        <v/>
      </c>
      <c r="I186" s="27">
        <f>C6+(E186/1000)/C7</f>
        <v/>
      </c>
    </row>
    <row r="187" ht="12.95" customHeight="1" s="44">
      <c r="B187" s="25">
        <f>(158/80*(60/C5))</f>
        <v/>
      </c>
      <c r="C187" s="25">
        <f>IF(MOD((158/80*(60/C5)),(60/C5))&lt;(60/C5*C9),C6+C4,C6)</f>
        <v/>
      </c>
      <c r="D187" s="25">
        <f>IF(MOD((158/80*(60/C5)),(60/C5))&lt;(60/C5*C9),((C6+C4)/C8)*EXP(-MOD((158/80*(60/C5)),(60/C5))/(C8*C7))*60,-(((C6+C4)*C7*(1-EXP(-(60/C5*C9)/(C8*C7))))/(C8*C7))*EXP(-(MOD((158/80*(60/C5)),(60/C5))-(60/C5*C9))/(C8*C7))*60)</f>
        <v/>
      </c>
      <c r="E187" s="26">
        <f>(IF(MOD((158/80*(60/C5)),(60/C5))&lt;(60/C5*C9),(C6+C4)*C7*(1-EXP(-MOD((158/80*(60/C5)),(60/C5))/(C8*C7))),((C6+C4)*C7*(1-EXP(-(60/C5*C9)/(C8*C7))))*EXP(-(MOD((158/80*(60/C5)),(60/C5))-(60/C5*C9))/(C8*C7))))*1000</f>
        <v/>
      </c>
      <c r="F187" s="25">
        <f>IF(AND(MOD((158/80*(60/C5)),(60/C5))&lt;(60/C5*C9),MOD((158/80*(60/C5)),(60/C5))&lt;C12),-ABS(C11)*SIN(PI()*MOD((158/80*(60/C5)),(60/C5))/C12),0)</f>
        <v/>
      </c>
      <c r="G187" s="25">
        <f>C6*(C10/(C7+C10))+(E187/1000)/C10+F187</f>
        <v/>
      </c>
      <c r="H187" s="25">
        <f>C187-G187</f>
        <v/>
      </c>
      <c r="I187" s="25">
        <f>C6+(E187/1000)/C7</f>
        <v/>
      </c>
    </row>
    <row r="188" ht="12.95" customHeight="1" s="44">
      <c r="B188" s="27">
        <f>(159/80*(60/C5))</f>
        <v/>
      </c>
      <c r="C188" s="27">
        <f>IF(MOD((159/80*(60/C5)),(60/C5))&lt;(60/C5*C9),C6+C4,C6)</f>
        <v/>
      </c>
      <c r="D188" s="27">
        <f>IF(MOD((159/80*(60/C5)),(60/C5))&lt;(60/C5*C9),((C6+C4)/C8)*EXP(-MOD((159/80*(60/C5)),(60/C5))/(C8*C7))*60,-(((C6+C4)*C7*(1-EXP(-(60/C5*C9)/(C8*C7))))/(C8*C7))*EXP(-(MOD((159/80*(60/C5)),(60/C5))-(60/C5*C9))/(C8*C7))*60)</f>
        <v/>
      </c>
      <c r="E188" s="28">
        <f>(IF(MOD((159/80*(60/C5)),(60/C5))&lt;(60/C5*C9),(C6+C4)*C7*(1-EXP(-MOD((159/80*(60/C5)),(60/C5))/(C8*C7))),((C6+C4)*C7*(1-EXP(-(60/C5*C9)/(C8*C7))))*EXP(-(MOD((159/80*(60/C5)),(60/C5))-(60/C5*C9))/(C8*C7))))*1000</f>
        <v/>
      </c>
      <c r="F188" s="27">
        <f>IF(AND(MOD((159/80*(60/C5)),(60/C5))&lt;(60/C5*C9),MOD((159/80*(60/C5)),(60/C5))&lt;C12),-ABS(C11)*SIN(PI()*MOD((159/80*(60/C5)),(60/C5))/C12),0)</f>
        <v/>
      </c>
      <c r="G188" s="27">
        <f>C6*(C10/(C7+C10))+(E188/1000)/C10+F188</f>
        <v/>
      </c>
      <c r="H188" s="27">
        <f>C188-G188</f>
        <v/>
      </c>
      <c r="I188" s="27">
        <f>C6+(E188/1000)/C7</f>
        <v/>
      </c>
    </row>
    <row r="189" ht="12.95" customHeight="1" s="44">
      <c r="B189" s="25">
        <f>(160/80*(60/C5))</f>
        <v/>
      </c>
      <c r="C189" s="25">
        <f>IF(MOD((160/80*(60/C5)),(60/C5))&lt;(60/C5*C9),C6+C4,C6)</f>
        <v/>
      </c>
      <c r="D189" s="25">
        <f>IF(MOD((160/80*(60/C5)),(60/C5))&lt;(60/C5*C9),((C6+C4)/C8)*EXP(-MOD((160/80*(60/C5)),(60/C5))/(C8*C7))*60,-(((C6+C4)*C7*(1-EXP(-(60/C5*C9)/(C8*C7))))/(C8*C7))*EXP(-(MOD((160/80*(60/C5)),(60/C5))-(60/C5*C9))/(C8*C7))*60)</f>
        <v/>
      </c>
      <c r="E189" s="26">
        <f>(IF(MOD((160/80*(60/C5)),(60/C5))&lt;(60/C5*C9),(C6+C4)*C7*(1-EXP(-MOD((160/80*(60/C5)),(60/C5))/(C8*C7))),((C6+C4)*C7*(1-EXP(-(60/C5*C9)/(C8*C7))))*EXP(-(MOD((160/80*(60/C5)),(60/C5))-(60/C5*C9))/(C8*C7))))*1000</f>
        <v/>
      </c>
      <c r="F189" s="25">
        <f>IF(AND(MOD((160/80*(60/C5)),(60/C5))&lt;(60/C5*C9),MOD((160/80*(60/C5)),(60/C5))&lt;C12),-ABS(C11)*SIN(PI()*MOD((160/80*(60/C5)),(60/C5))/C12),0)</f>
        <v/>
      </c>
      <c r="G189" s="25">
        <f>C6*(C10/(C7+C10))+(E189/1000)/C10+F189</f>
        <v/>
      </c>
      <c r="H189" s="25">
        <f>C189-G189</f>
        <v/>
      </c>
      <c r="I189" s="25">
        <f>C6+(E189/1000)/C7</f>
        <v/>
      </c>
    </row>
    <row r="190" ht="12.95" customHeight="1" s="44">
      <c r="B190" s="27">
        <f>(161/80*(60/C5))</f>
        <v/>
      </c>
      <c r="C190" s="27">
        <f>IF(MOD((161/80*(60/C5)),(60/C5))&lt;(60/C5*C9),C6+C4,C6)</f>
        <v/>
      </c>
      <c r="D190" s="27">
        <f>IF(MOD((161/80*(60/C5)),(60/C5))&lt;(60/C5*C9),((C6+C4)/C8)*EXP(-MOD((161/80*(60/C5)),(60/C5))/(C8*C7))*60,-(((C6+C4)*C7*(1-EXP(-(60/C5*C9)/(C8*C7))))/(C8*C7))*EXP(-(MOD((161/80*(60/C5)),(60/C5))-(60/C5*C9))/(C8*C7))*60)</f>
        <v/>
      </c>
      <c r="E190" s="28">
        <f>(IF(MOD((161/80*(60/C5)),(60/C5))&lt;(60/C5*C9),(C6+C4)*C7*(1-EXP(-MOD((161/80*(60/C5)),(60/C5))/(C8*C7))),((C6+C4)*C7*(1-EXP(-(60/C5*C9)/(C8*C7))))*EXP(-(MOD((161/80*(60/C5)),(60/C5))-(60/C5*C9))/(C8*C7))))*1000</f>
        <v/>
      </c>
      <c r="F190" s="27">
        <f>IF(AND(MOD((161/80*(60/C5)),(60/C5))&lt;(60/C5*C9),MOD((161/80*(60/C5)),(60/C5))&lt;C12),-ABS(C11)*SIN(PI()*MOD((161/80*(60/C5)),(60/C5))/C12),0)</f>
        <v/>
      </c>
      <c r="G190" s="27">
        <f>C6*(C10/(C7+C10))+(E190/1000)/C10+F190</f>
        <v/>
      </c>
      <c r="H190" s="27">
        <f>C190-G190</f>
        <v/>
      </c>
      <c r="I190" s="27">
        <f>C6+(E190/1000)/C7</f>
        <v/>
      </c>
    </row>
    <row r="191" ht="12.95" customHeight="1" s="44">
      <c r="B191" s="25">
        <f>(162/80*(60/C5))</f>
        <v/>
      </c>
      <c r="C191" s="25">
        <f>IF(MOD((162/80*(60/C5)),(60/C5))&lt;(60/C5*C9),C6+C4,C6)</f>
        <v/>
      </c>
      <c r="D191" s="25">
        <f>IF(MOD((162/80*(60/C5)),(60/C5))&lt;(60/C5*C9),((C6+C4)/C8)*EXP(-MOD((162/80*(60/C5)),(60/C5))/(C8*C7))*60,-(((C6+C4)*C7*(1-EXP(-(60/C5*C9)/(C8*C7))))/(C8*C7))*EXP(-(MOD((162/80*(60/C5)),(60/C5))-(60/C5*C9))/(C8*C7))*60)</f>
        <v/>
      </c>
      <c r="E191" s="26">
        <f>(IF(MOD((162/80*(60/C5)),(60/C5))&lt;(60/C5*C9),(C6+C4)*C7*(1-EXP(-MOD((162/80*(60/C5)),(60/C5))/(C8*C7))),((C6+C4)*C7*(1-EXP(-(60/C5*C9)/(C8*C7))))*EXP(-(MOD((162/80*(60/C5)),(60/C5))-(60/C5*C9))/(C8*C7))))*1000</f>
        <v/>
      </c>
      <c r="F191" s="25">
        <f>IF(AND(MOD((162/80*(60/C5)),(60/C5))&lt;(60/C5*C9),MOD((162/80*(60/C5)),(60/C5))&lt;C12),-ABS(C11)*SIN(PI()*MOD((162/80*(60/C5)),(60/C5))/C12),0)</f>
        <v/>
      </c>
      <c r="G191" s="25">
        <f>C6*(C10/(C7+C10))+(E191/1000)/C10+F191</f>
        <v/>
      </c>
      <c r="H191" s="25">
        <f>C191-G191</f>
        <v/>
      </c>
      <c r="I191" s="25">
        <f>C6+(E191/1000)/C7</f>
        <v/>
      </c>
    </row>
    <row r="192" ht="12.95" customHeight="1" s="44">
      <c r="B192" s="27">
        <f>(163/80*(60/C5))</f>
        <v/>
      </c>
      <c r="C192" s="27">
        <f>IF(MOD((163/80*(60/C5)),(60/C5))&lt;(60/C5*C9),C6+C4,C6)</f>
        <v/>
      </c>
      <c r="D192" s="27">
        <f>IF(MOD((163/80*(60/C5)),(60/C5))&lt;(60/C5*C9),((C6+C4)/C8)*EXP(-MOD((163/80*(60/C5)),(60/C5))/(C8*C7))*60,-(((C6+C4)*C7*(1-EXP(-(60/C5*C9)/(C8*C7))))/(C8*C7))*EXP(-(MOD((163/80*(60/C5)),(60/C5))-(60/C5*C9))/(C8*C7))*60)</f>
        <v/>
      </c>
      <c r="E192" s="28">
        <f>(IF(MOD((163/80*(60/C5)),(60/C5))&lt;(60/C5*C9),(C6+C4)*C7*(1-EXP(-MOD((163/80*(60/C5)),(60/C5))/(C8*C7))),((C6+C4)*C7*(1-EXP(-(60/C5*C9)/(C8*C7))))*EXP(-(MOD((163/80*(60/C5)),(60/C5))-(60/C5*C9))/(C8*C7))))*1000</f>
        <v/>
      </c>
      <c r="F192" s="27">
        <f>IF(AND(MOD((163/80*(60/C5)),(60/C5))&lt;(60/C5*C9),MOD((163/80*(60/C5)),(60/C5))&lt;C12),-ABS(C11)*SIN(PI()*MOD((163/80*(60/C5)),(60/C5))/C12),0)</f>
        <v/>
      </c>
      <c r="G192" s="27">
        <f>C6*(C10/(C7+C10))+(E192/1000)/C10+F192</f>
        <v/>
      </c>
      <c r="H192" s="27">
        <f>C192-G192</f>
        <v/>
      </c>
      <c r="I192" s="27">
        <f>C6+(E192/1000)/C7</f>
        <v/>
      </c>
    </row>
    <row r="193" ht="12.95" customHeight="1" s="44">
      <c r="B193" s="25">
        <f>(164/80*(60/C5))</f>
        <v/>
      </c>
      <c r="C193" s="25">
        <f>IF(MOD((164/80*(60/C5)),(60/C5))&lt;(60/C5*C9),C6+C4,C6)</f>
        <v/>
      </c>
      <c r="D193" s="25">
        <f>IF(MOD((164/80*(60/C5)),(60/C5))&lt;(60/C5*C9),((C6+C4)/C8)*EXP(-MOD((164/80*(60/C5)),(60/C5))/(C8*C7))*60,-(((C6+C4)*C7*(1-EXP(-(60/C5*C9)/(C8*C7))))/(C8*C7))*EXP(-(MOD((164/80*(60/C5)),(60/C5))-(60/C5*C9))/(C8*C7))*60)</f>
        <v/>
      </c>
      <c r="E193" s="26">
        <f>(IF(MOD((164/80*(60/C5)),(60/C5))&lt;(60/C5*C9),(C6+C4)*C7*(1-EXP(-MOD((164/80*(60/C5)),(60/C5))/(C8*C7))),((C6+C4)*C7*(1-EXP(-(60/C5*C9)/(C8*C7))))*EXP(-(MOD((164/80*(60/C5)),(60/C5))-(60/C5*C9))/(C8*C7))))*1000</f>
        <v/>
      </c>
      <c r="F193" s="25">
        <f>IF(AND(MOD((164/80*(60/C5)),(60/C5))&lt;(60/C5*C9),MOD((164/80*(60/C5)),(60/C5))&lt;C12),-ABS(C11)*SIN(PI()*MOD((164/80*(60/C5)),(60/C5))/C12),0)</f>
        <v/>
      </c>
      <c r="G193" s="25">
        <f>C6*(C10/(C7+C10))+(E193/1000)/C10+F193</f>
        <v/>
      </c>
      <c r="H193" s="25">
        <f>C193-G193</f>
        <v/>
      </c>
      <c r="I193" s="25">
        <f>C6+(E193/1000)/C7</f>
        <v/>
      </c>
    </row>
    <row r="194" ht="12.95" customHeight="1" s="44">
      <c r="B194" s="27">
        <f>(165/80*(60/C5))</f>
        <v/>
      </c>
      <c r="C194" s="27">
        <f>IF(MOD((165/80*(60/C5)),(60/C5))&lt;(60/C5*C9),C6+C4,C6)</f>
        <v/>
      </c>
      <c r="D194" s="27">
        <f>IF(MOD((165/80*(60/C5)),(60/C5))&lt;(60/C5*C9),((C6+C4)/C8)*EXP(-MOD((165/80*(60/C5)),(60/C5))/(C8*C7))*60,-(((C6+C4)*C7*(1-EXP(-(60/C5*C9)/(C8*C7))))/(C8*C7))*EXP(-(MOD((165/80*(60/C5)),(60/C5))-(60/C5*C9))/(C8*C7))*60)</f>
        <v/>
      </c>
      <c r="E194" s="28">
        <f>(IF(MOD((165/80*(60/C5)),(60/C5))&lt;(60/C5*C9),(C6+C4)*C7*(1-EXP(-MOD((165/80*(60/C5)),(60/C5))/(C8*C7))),((C6+C4)*C7*(1-EXP(-(60/C5*C9)/(C8*C7))))*EXP(-(MOD((165/80*(60/C5)),(60/C5))-(60/C5*C9))/(C8*C7))))*1000</f>
        <v/>
      </c>
      <c r="F194" s="27">
        <f>IF(AND(MOD((165/80*(60/C5)),(60/C5))&lt;(60/C5*C9),MOD((165/80*(60/C5)),(60/C5))&lt;C12),-ABS(C11)*SIN(PI()*MOD((165/80*(60/C5)),(60/C5))/C12),0)</f>
        <v/>
      </c>
      <c r="G194" s="27">
        <f>C6*(C10/(C7+C10))+(E194/1000)/C10+F194</f>
        <v/>
      </c>
      <c r="H194" s="27">
        <f>C194-G194</f>
        <v/>
      </c>
      <c r="I194" s="27">
        <f>C6+(E194/1000)/C7</f>
        <v/>
      </c>
    </row>
    <row r="195" ht="12.95" customHeight="1" s="44">
      <c r="B195" s="25">
        <f>(166/80*(60/C5))</f>
        <v/>
      </c>
      <c r="C195" s="25">
        <f>IF(MOD((166/80*(60/C5)),(60/C5))&lt;(60/C5*C9),C6+C4,C6)</f>
        <v/>
      </c>
      <c r="D195" s="25">
        <f>IF(MOD((166/80*(60/C5)),(60/C5))&lt;(60/C5*C9),((C6+C4)/C8)*EXP(-MOD((166/80*(60/C5)),(60/C5))/(C8*C7))*60,-(((C6+C4)*C7*(1-EXP(-(60/C5*C9)/(C8*C7))))/(C8*C7))*EXP(-(MOD((166/80*(60/C5)),(60/C5))-(60/C5*C9))/(C8*C7))*60)</f>
        <v/>
      </c>
      <c r="E195" s="26">
        <f>(IF(MOD((166/80*(60/C5)),(60/C5))&lt;(60/C5*C9),(C6+C4)*C7*(1-EXP(-MOD((166/80*(60/C5)),(60/C5))/(C8*C7))),((C6+C4)*C7*(1-EXP(-(60/C5*C9)/(C8*C7))))*EXP(-(MOD((166/80*(60/C5)),(60/C5))-(60/C5*C9))/(C8*C7))))*1000</f>
        <v/>
      </c>
      <c r="F195" s="25">
        <f>IF(AND(MOD((166/80*(60/C5)),(60/C5))&lt;(60/C5*C9),MOD((166/80*(60/C5)),(60/C5))&lt;C12),-ABS(C11)*SIN(PI()*MOD((166/80*(60/C5)),(60/C5))/C12),0)</f>
        <v/>
      </c>
      <c r="G195" s="25">
        <f>C6*(C10/(C7+C10))+(E195/1000)/C10+F195</f>
        <v/>
      </c>
      <c r="H195" s="25">
        <f>C195-G195</f>
        <v/>
      </c>
      <c r="I195" s="25">
        <f>C6+(E195/1000)/C7</f>
        <v/>
      </c>
    </row>
    <row r="196" ht="12.95" customHeight="1" s="44">
      <c r="B196" s="27">
        <f>(167/80*(60/C5))</f>
        <v/>
      </c>
      <c r="C196" s="27">
        <f>IF(MOD((167/80*(60/C5)),(60/C5))&lt;(60/C5*C9),C6+C4,C6)</f>
        <v/>
      </c>
      <c r="D196" s="27">
        <f>IF(MOD((167/80*(60/C5)),(60/C5))&lt;(60/C5*C9),((C6+C4)/C8)*EXP(-MOD((167/80*(60/C5)),(60/C5))/(C8*C7))*60,-(((C6+C4)*C7*(1-EXP(-(60/C5*C9)/(C8*C7))))/(C8*C7))*EXP(-(MOD((167/80*(60/C5)),(60/C5))-(60/C5*C9))/(C8*C7))*60)</f>
        <v/>
      </c>
      <c r="E196" s="28">
        <f>(IF(MOD((167/80*(60/C5)),(60/C5))&lt;(60/C5*C9),(C6+C4)*C7*(1-EXP(-MOD((167/80*(60/C5)),(60/C5))/(C8*C7))),((C6+C4)*C7*(1-EXP(-(60/C5*C9)/(C8*C7))))*EXP(-(MOD((167/80*(60/C5)),(60/C5))-(60/C5*C9))/(C8*C7))))*1000</f>
        <v/>
      </c>
      <c r="F196" s="27">
        <f>IF(AND(MOD((167/80*(60/C5)),(60/C5))&lt;(60/C5*C9),MOD((167/80*(60/C5)),(60/C5))&lt;C12),-ABS(C11)*SIN(PI()*MOD((167/80*(60/C5)),(60/C5))/C12),0)</f>
        <v/>
      </c>
      <c r="G196" s="27">
        <f>C6*(C10/(C7+C10))+(E196/1000)/C10+F196</f>
        <v/>
      </c>
      <c r="H196" s="27">
        <f>C196-G196</f>
        <v/>
      </c>
      <c r="I196" s="27">
        <f>C6+(E196/1000)/C7</f>
        <v/>
      </c>
    </row>
    <row r="197" ht="12.95" customHeight="1" s="44">
      <c r="B197" s="25">
        <f>(168/80*(60/C5))</f>
        <v/>
      </c>
      <c r="C197" s="25">
        <f>IF(MOD((168/80*(60/C5)),(60/C5))&lt;(60/C5*C9),C6+C4,C6)</f>
        <v/>
      </c>
      <c r="D197" s="25">
        <f>IF(MOD((168/80*(60/C5)),(60/C5))&lt;(60/C5*C9),((C6+C4)/C8)*EXP(-MOD((168/80*(60/C5)),(60/C5))/(C8*C7))*60,-(((C6+C4)*C7*(1-EXP(-(60/C5*C9)/(C8*C7))))/(C8*C7))*EXP(-(MOD((168/80*(60/C5)),(60/C5))-(60/C5*C9))/(C8*C7))*60)</f>
        <v/>
      </c>
      <c r="E197" s="26">
        <f>(IF(MOD((168/80*(60/C5)),(60/C5))&lt;(60/C5*C9),(C6+C4)*C7*(1-EXP(-MOD((168/80*(60/C5)),(60/C5))/(C8*C7))),((C6+C4)*C7*(1-EXP(-(60/C5*C9)/(C8*C7))))*EXP(-(MOD((168/80*(60/C5)),(60/C5))-(60/C5*C9))/(C8*C7))))*1000</f>
        <v/>
      </c>
      <c r="F197" s="25">
        <f>IF(AND(MOD((168/80*(60/C5)),(60/C5))&lt;(60/C5*C9),MOD((168/80*(60/C5)),(60/C5))&lt;C12),-ABS(C11)*SIN(PI()*MOD((168/80*(60/C5)),(60/C5))/C12),0)</f>
        <v/>
      </c>
      <c r="G197" s="25">
        <f>C6*(C10/(C7+C10))+(E197/1000)/C10+F197</f>
        <v/>
      </c>
      <c r="H197" s="25">
        <f>C197-G197</f>
        <v/>
      </c>
      <c r="I197" s="25">
        <f>C6+(E197/1000)/C7</f>
        <v/>
      </c>
    </row>
    <row r="198" ht="12.95" customHeight="1" s="44">
      <c r="B198" s="27">
        <f>(169/80*(60/C5))</f>
        <v/>
      </c>
      <c r="C198" s="27">
        <f>IF(MOD((169/80*(60/C5)),(60/C5))&lt;(60/C5*C9),C6+C4,C6)</f>
        <v/>
      </c>
      <c r="D198" s="27">
        <f>IF(MOD((169/80*(60/C5)),(60/C5))&lt;(60/C5*C9),((C6+C4)/C8)*EXP(-MOD((169/80*(60/C5)),(60/C5))/(C8*C7))*60,-(((C6+C4)*C7*(1-EXP(-(60/C5*C9)/(C8*C7))))/(C8*C7))*EXP(-(MOD((169/80*(60/C5)),(60/C5))-(60/C5*C9))/(C8*C7))*60)</f>
        <v/>
      </c>
      <c r="E198" s="28">
        <f>(IF(MOD((169/80*(60/C5)),(60/C5))&lt;(60/C5*C9),(C6+C4)*C7*(1-EXP(-MOD((169/80*(60/C5)),(60/C5))/(C8*C7))),((C6+C4)*C7*(1-EXP(-(60/C5*C9)/(C8*C7))))*EXP(-(MOD((169/80*(60/C5)),(60/C5))-(60/C5*C9))/(C8*C7))))*1000</f>
        <v/>
      </c>
      <c r="F198" s="27">
        <f>IF(AND(MOD((169/80*(60/C5)),(60/C5))&lt;(60/C5*C9),MOD((169/80*(60/C5)),(60/C5))&lt;C12),-ABS(C11)*SIN(PI()*MOD((169/80*(60/C5)),(60/C5))/C12),0)</f>
        <v/>
      </c>
      <c r="G198" s="27">
        <f>C6*(C10/(C7+C10))+(E198/1000)/C10+F198</f>
        <v/>
      </c>
      <c r="H198" s="27">
        <f>C198-G198</f>
        <v/>
      </c>
      <c r="I198" s="27">
        <f>C6+(E198/1000)/C7</f>
        <v/>
      </c>
    </row>
    <row r="199" ht="12.95" customHeight="1" s="44">
      <c r="B199" s="25">
        <f>(170/80*(60/C5))</f>
        <v/>
      </c>
      <c r="C199" s="25">
        <f>IF(MOD((170/80*(60/C5)),(60/C5))&lt;(60/C5*C9),C6+C4,C6)</f>
        <v/>
      </c>
      <c r="D199" s="25">
        <f>IF(MOD((170/80*(60/C5)),(60/C5))&lt;(60/C5*C9),((C6+C4)/C8)*EXP(-MOD((170/80*(60/C5)),(60/C5))/(C8*C7))*60,-(((C6+C4)*C7*(1-EXP(-(60/C5*C9)/(C8*C7))))/(C8*C7))*EXP(-(MOD((170/80*(60/C5)),(60/C5))-(60/C5*C9))/(C8*C7))*60)</f>
        <v/>
      </c>
      <c r="E199" s="26">
        <f>(IF(MOD((170/80*(60/C5)),(60/C5))&lt;(60/C5*C9),(C6+C4)*C7*(1-EXP(-MOD((170/80*(60/C5)),(60/C5))/(C8*C7))),((C6+C4)*C7*(1-EXP(-(60/C5*C9)/(C8*C7))))*EXP(-(MOD((170/80*(60/C5)),(60/C5))-(60/C5*C9))/(C8*C7))))*1000</f>
        <v/>
      </c>
      <c r="F199" s="25">
        <f>IF(AND(MOD((170/80*(60/C5)),(60/C5))&lt;(60/C5*C9),MOD((170/80*(60/C5)),(60/C5))&lt;C12),-ABS(C11)*SIN(PI()*MOD((170/80*(60/C5)),(60/C5))/C12),0)</f>
        <v/>
      </c>
      <c r="G199" s="25">
        <f>C6*(C10/(C7+C10))+(E199/1000)/C10+F199</f>
        <v/>
      </c>
      <c r="H199" s="25">
        <f>C199-G199</f>
        <v/>
      </c>
      <c r="I199" s="25">
        <f>C6+(E199/1000)/C7</f>
        <v/>
      </c>
    </row>
    <row r="200" ht="12.95" customHeight="1" s="44">
      <c r="B200" s="27">
        <f>(171/80*(60/C5))</f>
        <v/>
      </c>
      <c r="C200" s="27">
        <f>IF(MOD((171/80*(60/C5)),(60/C5))&lt;(60/C5*C9),C6+C4,C6)</f>
        <v/>
      </c>
      <c r="D200" s="27">
        <f>IF(MOD((171/80*(60/C5)),(60/C5))&lt;(60/C5*C9),((C6+C4)/C8)*EXP(-MOD((171/80*(60/C5)),(60/C5))/(C8*C7))*60,-(((C6+C4)*C7*(1-EXP(-(60/C5*C9)/(C8*C7))))/(C8*C7))*EXP(-(MOD((171/80*(60/C5)),(60/C5))-(60/C5*C9))/(C8*C7))*60)</f>
        <v/>
      </c>
      <c r="E200" s="28">
        <f>(IF(MOD((171/80*(60/C5)),(60/C5))&lt;(60/C5*C9),(C6+C4)*C7*(1-EXP(-MOD((171/80*(60/C5)),(60/C5))/(C8*C7))),((C6+C4)*C7*(1-EXP(-(60/C5*C9)/(C8*C7))))*EXP(-(MOD((171/80*(60/C5)),(60/C5))-(60/C5*C9))/(C8*C7))))*1000</f>
        <v/>
      </c>
      <c r="F200" s="27">
        <f>IF(AND(MOD((171/80*(60/C5)),(60/C5))&lt;(60/C5*C9),MOD((171/80*(60/C5)),(60/C5))&lt;C12),-ABS(C11)*SIN(PI()*MOD((171/80*(60/C5)),(60/C5))/C12),0)</f>
        <v/>
      </c>
      <c r="G200" s="27">
        <f>C6*(C10/(C7+C10))+(E200/1000)/C10+F200</f>
        <v/>
      </c>
      <c r="H200" s="27">
        <f>C200-G200</f>
        <v/>
      </c>
      <c r="I200" s="27">
        <f>C6+(E200/1000)/C7</f>
        <v/>
      </c>
    </row>
    <row r="201" ht="12.95" customHeight="1" s="44">
      <c r="B201" s="25">
        <f>(172/80*(60/C5))</f>
        <v/>
      </c>
      <c r="C201" s="25">
        <f>IF(MOD((172/80*(60/C5)),(60/C5))&lt;(60/C5*C9),C6+C4,C6)</f>
        <v/>
      </c>
      <c r="D201" s="25">
        <f>IF(MOD((172/80*(60/C5)),(60/C5))&lt;(60/C5*C9),((C6+C4)/C8)*EXP(-MOD((172/80*(60/C5)),(60/C5))/(C8*C7))*60,-(((C6+C4)*C7*(1-EXP(-(60/C5*C9)/(C8*C7))))/(C8*C7))*EXP(-(MOD((172/80*(60/C5)),(60/C5))-(60/C5*C9))/(C8*C7))*60)</f>
        <v/>
      </c>
      <c r="E201" s="26">
        <f>(IF(MOD((172/80*(60/C5)),(60/C5))&lt;(60/C5*C9),(C6+C4)*C7*(1-EXP(-MOD((172/80*(60/C5)),(60/C5))/(C8*C7))),((C6+C4)*C7*(1-EXP(-(60/C5*C9)/(C8*C7))))*EXP(-(MOD((172/80*(60/C5)),(60/C5))-(60/C5*C9))/(C8*C7))))*1000</f>
        <v/>
      </c>
      <c r="F201" s="25">
        <f>IF(AND(MOD((172/80*(60/C5)),(60/C5))&lt;(60/C5*C9),MOD((172/80*(60/C5)),(60/C5))&lt;C12),-ABS(C11)*SIN(PI()*MOD((172/80*(60/C5)),(60/C5))/C12),0)</f>
        <v/>
      </c>
      <c r="G201" s="25">
        <f>C6*(C10/(C7+C10))+(E201/1000)/C10+F201</f>
        <v/>
      </c>
      <c r="H201" s="25">
        <f>C201-G201</f>
        <v/>
      </c>
      <c r="I201" s="25">
        <f>C6+(E201/1000)/C7</f>
        <v/>
      </c>
    </row>
    <row r="202" ht="12.95" customHeight="1" s="44">
      <c r="B202" s="27">
        <f>(173/80*(60/C5))</f>
        <v/>
      </c>
      <c r="C202" s="27">
        <f>IF(MOD((173/80*(60/C5)),(60/C5))&lt;(60/C5*C9),C6+C4,C6)</f>
        <v/>
      </c>
      <c r="D202" s="27">
        <f>IF(MOD((173/80*(60/C5)),(60/C5))&lt;(60/C5*C9),((C6+C4)/C8)*EXP(-MOD((173/80*(60/C5)),(60/C5))/(C8*C7))*60,-(((C6+C4)*C7*(1-EXP(-(60/C5*C9)/(C8*C7))))/(C8*C7))*EXP(-(MOD((173/80*(60/C5)),(60/C5))-(60/C5*C9))/(C8*C7))*60)</f>
        <v/>
      </c>
      <c r="E202" s="28">
        <f>(IF(MOD((173/80*(60/C5)),(60/C5))&lt;(60/C5*C9),(C6+C4)*C7*(1-EXP(-MOD((173/80*(60/C5)),(60/C5))/(C8*C7))),((C6+C4)*C7*(1-EXP(-(60/C5*C9)/(C8*C7))))*EXP(-(MOD((173/80*(60/C5)),(60/C5))-(60/C5*C9))/(C8*C7))))*1000</f>
        <v/>
      </c>
      <c r="F202" s="27">
        <f>IF(AND(MOD((173/80*(60/C5)),(60/C5))&lt;(60/C5*C9),MOD((173/80*(60/C5)),(60/C5))&lt;C12),-ABS(C11)*SIN(PI()*MOD((173/80*(60/C5)),(60/C5))/C12),0)</f>
        <v/>
      </c>
      <c r="G202" s="27">
        <f>C6*(C10/(C7+C10))+(E202/1000)/C10+F202</f>
        <v/>
      </c>
      <c r="H202" s="27">
        <f>C202-G202</f>
        <v/>
      </c>
      <c r="I202" s="27">
        <f>C6+(E202/1000)/C7</f>
        <v/>
      </c>
    </row>
    <row r="203" ht="12.95" customHeight="1" s="44">
      <c r="B203" s="25">
        <f>(174/80*(60/C5))</f>
        <v/>
      </c>
      <c r="C203" s="25">
        <f>IF(MOD((174/80*(60/C5)),(60/C5))&lt;(60/C5*C9),C6+C4,C6)</f>
        <v/>
      </c>
      <c r="D203" s="25">
        <f>IF(MOD((174/80*(60/C5)),(60/C5))&lt;(60/C5*C9),((C6+C4)/C8)*EXP(-MOD((174/80*(60/C5)),(60/C5))/(C8*C7))*60,-(((C6+C4)*C7*(1-EXP(-(60/C5*C9)/(C8*C7))))/(C8*C7))*EXP(-(MOD((174/80*(60/C5)),(60/C5))-(60/C5*C9))/(C8*C7))*60)</f>
        <v/>
      </c>
      <c r="E203" s="26">
        <f>(IF(MOD((174/80*(60/C5)),(60/C5))&lt;(60/C5*C9),(C6+C4)*C7*(1-EXP(-MOD((174/80*(60/C5)),(60/C5))/(C8*C7))),((C6+C4)*C7*(1-EXP(-(60/C5*C9)/(C8*C7))))*EXP(-(MOD((174/80*(60/C5)),(60/C5))-(60/C5*C9))/(C8*C7))))*1000</f>
        <v/>
      </c>
      <c r="F203" s="25">
        <f>IF(AND(MOD((174/80*(60/C5)),(60/C5))&lt;(60/C5*C9),MOD((174/80*(60/C5)),(60/C5))&lt;C12),-ABS(C11)*SIN(PI()*MOD((174/80*(60/C5)),(60/C5))/C12),0)</f>
        <v/>
      </c>
      <c r="G203" s="25">
        <f>C6*(C10/(C7+C10))+(E203/1000)/C10+F203</f>
        <v/>
      </c>
      <c r="H203" s="25">
        <f>C203-G203</f>
        <v/>
      </c>
      <c r="I203" s="25">
        <f>C6+(E203/1000)/C7</f>
        <v/>
      </c>
    </row>
    <row r="204" ht="12.95" customHeight="1" s="44">
      <c r="B204" s="27">
        <f>(175/80*(60/C5))</f>
        <v/>
      </c>
      <c r="C204" s="27">
        <f>IF(MOD((175/80*(60/C5)),(60/C5))&lt;(60/C5*C9),C6+C4,C6)</f>
        <v/>
      </c>
      <c r="D204" s="27">
        <f>IF(MOD((175/80*(60/C5)),(60/C5))&lt;(60/C5*C9),((C6+C4)/C8)*EXP(-MOD((175/80*(60/C5)),(60/C5))/(C8*C7))*60,-(((C6+C4)*C7*(1-EXP(-(60/C5*C9)/(C8*C7))))/(C8*C7))*EXP(-(MOD((175/80*(60/C5)),(60/C5))-(60/C5*C9))/(C8*C7))*60)</f>
        <v/>
      </c>
      <c r="E204" s="28">
        <f>(IF(MOD((175/80*(60/C5)),(60/C5))&lt;(60/C5*C9),(C6+C4)*C7*(1-EXP(-MOD((175/80*(60/C5)),(60/C5))/(C8*C7))),((C6+C4)*C7*(1-EXP(-(60/C5*C9)/(C8*C7))))*EXP(-(MOD((175/80*(60/C5)),(60/C5))-(60/C5*C9))/(C8*C7))))*1000</f>
        <v/>
      </c>
      <c r="F204" s="27">
        <f>IF(AND(MOD((175/80*(60/C5)),(60/C5))&lt;(60/C5*C9),MOD((175/80*(60/C5)),(60/C5))&lt;C12),-ABS(C11)*SIN(PI()*MOD((175/80*(60/C5)),(60/C5))/C12),0)</f>
        <v/>
      </c>
      <c r="G204" s="27">
        <f>C6*(C10/(C7+C10))+(E204/1000)/C10+F204</f>
        <v/>
      </c>
      <c r="H204" s="27">
        <f>C204-G204</f>
        <v/>
      </c>
      <c r="I204" s="27">
        <f>C6+(E204/1000)/C7</f>
        <v/>
      </c>
    </row>
    <row r="205" ht="12.95" customHeight="1" s="44">
      <c r="B205" s="25">
        <f>(176/80*(60/C5))</f>
        <v/>
      </c>
      <c r="C205" s="25">
        <f>IF(MOD((176/80*(60/C5)),(60/C5))&lt;(60/C5*C9),C6+C4,C6)</f>
        <v/>
      </c>
      <c r="D205" s="25">
        <f>IF(MOD((176/80*(60/C5)),(60/C5))&lt;(60/C5*C9),((C6+C4)/C8)*EXP(-MOD((176/80*(60/C5)),(60/C5))/(C8*C7))*60,-(((C6+C4)*C7*(1-EXP(-(60/C5*C9)/(C8*C7))))/(C8*C7))*EXP(-(MOD((176/80*(60/C5)),(60/C5))-(60/C5*C9))/(C8*C7))*60)</f>
        <v/>
      </c>
      <c r="E205" s="26">
        <f>(IF(MOD((176/80*(60/C5)),(60/C5))&lt;(60/C5*C9),(C6+C4)*C7*(1-EXP(-MOD((176/80*(60/C5)),(60/C5))/(C8*C7))),((C6+C4)*C7*(1-EXP(-(60/C5*C9)/(C8*C7))))*EXP(-(MOD((176/80*(60/C5)),(60/C5))-(60/C5*C9))/(C8*C7))))*1000</f>
        <v/>
      </c>
      <c r="F205" s="25">
        <f>IF(AND(MOD((176/80*(60/C5)),(60/C5))&lt;(60/C5*C9),MOD((176/80*(60/C5)),(60/C5))&lt;C12),-ABS(C11)*SIN(PI()*MOD((176/80*(60/C5)),(60/C5))/C12),0)</f>
        <v/>
      </c>
      <c r="G205" s="25">
        <f>C6*(C10/(C7+C10))+(E205/1000)/C10+F205</f>
        <v/>
      </c>
      <c r="H205" s="25">
        <f>C205-G205</f>
        <v/>
      </c>
      <c r="I205" s="25">
        <f>C6+(E205/1000)/C7</f>
        <v/>
      </c>
    </row>
    <row r="206" ht="12.95" customHeight="1" s="44">
      <c r="B206" s="27">
        <f>(177/80*(60/C5))</f>
        <v/>
      </c>
      <c r="C206" s="27">
        <f>IF(MOD((177/80*(60/C5)),(60/C5))&lt;(60/C5*C9),C6+C4,C6)</f>
        <v/>
      </c>
      <c r="D206" s="27">
        <f>IF(MOD((177/80*(60/C5)),(60/C5))&lt;(60/C5*C9),((C6+C4)/C8)*EXP(-MOD((177/80*(60/C5)),(60/C5))/(C8*C7))*60,-(((C6+C4)*C7*(1-EXP(-(60/C5*C9)/(C8*C7))))/(C8*C7))*EXP(-(MOD((177/80*(60/C5)),(60/C5))-(60/C5*C9))/(C8*C7))*60)</f>
        <v/>
      </c>
      <c r="E206" s="28">
        <f>(IF(MOD((177/80*(60/C5)),(60/C5))&lt;(60/C5*C9),(C6+C4)*C7*(1-EXP(-MOD((177/80*(60/C5)),(60/C5))/(C8*C7))),((C6+C4)*C7*(1-EXP(-(60/C5*C9)/(C8*C7))))*EXP(-(MOD((177/80*(60/C5)),(60/C5))-(60/C5*C9))/(C8*C7))))*1000</f>
        <v/>
      </c>
      <c r="F206" s="27">
        <f>IF(AND(MOD((177/80*(60/C5)),(60/C5))&lt;(60/C5*C9),MOD((177/80*(60/C5)),(60/C5))&lt;C12),-ABS(C11)*SIN(PI()*MOD((177/80*(60/C5)),(60/C5))/C12),0)</f>
        <v/>
      </c>
      <c r="G206" s="27">
        <f>C6*(C10/(C7+C10))+(E206/1000)/C10+F206</f>
        <v/>
      </c>
      <c r="H206" s="27">
        <f>C206-G206</f>
        <v/>
      </c>
      <c r="I206" s="27">
        <f>C6+(E206/1000)/C7</f>
        <v/>
      </c>
    </row>
    <row r="207" ht="12.95" customHeight="1" s="44">
      <c r="B207" s="25">
        <f>(178/80*(60/C5))</f>
        <v/>
      </c>
      <c r="C207" s="25">
        <f>IF(MOD((178/80*(60/C5)),(60/C5))&lt;(60/C5*C9),C6+C4,C6)</f>
        <v/>
      </c>
      <c r="D207" s="25">
        <f>IF(MOD((178/80*(60/C5)),(60/C5))&lt;(60/C5*C9),((C6+C4)/C8)*EXP(-MOD((178/80*(60/C5)),(60/C5))/(C8*C7))*60,-(((C6+C4)*C7*(1-EXP(-(60/C5*C9)/(C8*C7))))/(C8*C7))*EXP(-(MOD((178/80*(60/C5)),(60/C5))-(60/C5*C9))/(C8*C7))*60)</f>
        <v/>
      </c>
      <c r="E207" s="26">
        <f>(IF(MOD((178/80*(60/C5)),(60/C5))&lt;(60/C5*C9),(C6+C4)*C7*(1-EXP(-MOD((178/80*(60/C5)),(60/C5))/(C8*C7))),((C6+C4)*C7*(1-EXP(-(60/C5*C9)/(C8*C7))))*EXP(-(MOD((178/80*(60/C5)),(60/C5))-(60/C5*C9))/(C8*C7))))*1000</f>
        <v/>
      </c>
      <c r="F207" s="25">
        <f>IF(AND(MOD((178/80*(60/C5)),(60/C5))&lt;(60/C5*C9),MOD((178/80*(60/C5)),(60/C5))&lt;C12),-ABS(C11)*SIN(PI()*MOD((178/80*(60/C5)),(60/C5))/C12),0)</f>
        <v/>
      </c>
      <c r="G207" s="25">
        <f>C6*(C10/(C7+C10))+(E207/1000)/C10+F207</f>
        <v/>
      </c>
      <c r="H207" s="25">
        <f>C207-G207</f>
        <v/>
      </c>
      <c r="I207" s="25">
        <f>C6+(E207/1000)/C7</f>
        <v/>
      </c>
    </row>
    <row r="208" ht="12.95" customHeight="1" s="44">
      <c r="B208" s="27">
        <f>(179/80*(60/C5))</f>
        <v/>
      </c>
      <c r="C208" s="27">
        <f>IF(MOD((179/80*(60/C5)),(60/C5))&lt;(60/C5*C9),C6+C4,C6)</f>
        <v/>
      </c>
      <c r="D208" s="27">
        <f>IF(MOD((179/80*(60/C5)),(60/C5))&lt;(60/C5*C9),((C6+C4)/C8)*EXP(-MOD((179/80*(60/C5)),(60/C5))/(C8*C7))*60,-(((C6+C4)*C7*(1-EXP(-(60/C5*C9)/(C8*C7))))/(C8*C7))*EXP(-(MOD((179/80*(60/C5)),(60/C5))-(60/C5*C9))/(C8*C7))*60)</f>
        <v/>
      </c>
      <c r="E208" s="28">
        <f>(IF(MOD((179/80*(60/C5)),(60/C5))&lt;(60/C5*C9),(C6+C4)*C7*(1-EXP(-MOD((179/80*(60/C5)),(60/C5))/(C8*C7))),((C6+C4)*C7*(1-EXP(-(60/C5*C9)/(C8*C7))))*EXP(-(MOD((179/80*(60/C5)),(60/C5))-(60/C5*C9))/(C8*C7))))*1000</f>
        <v/>
      </c>
      <c r="F208" s="27">
        <f>IF(AND(MOD((179/80*(60/C5)),(60/C5))&lt;(60/C5*C9),MOD((179/80*(60/C5)),(60/C5))&lt;C12),-ABS(C11)*SIN(PI()*MOD((179/80*(60/C5)),(60/C5))/C12),0)</f>
        <v/>
      </c>
      <c r="G208" s="27">
        <f>C6*(C10/(C7+C10))+(E208/1000)/C10+F208</f>
        <v/>
      </c>
      <c r="H208" s="27">
        <f>C208-G208</f>
        <v/>
      </c>
      <c r="I208" s="27">
        <f>C6+(E208/1000)/C7</f>
        <v/>
      </c>
    </row>
    <row r="209" ht="12.95" customHeight="1" s="44">
      <c r="B209" s="25">
        <f>(180/80*(60/C5))</f>
        <v/>
      </c>
      <c r="C209" s="25">
        <f>IF(MOD((180/80*(60/C5)),(60/C5))&lt;(60/C5*C9),C6+C4,C6)</f>
        <v/>
      </c>
      <c r="D209" s="25">
        <f>IF(MOD((180/80*(60/C5)),(60/C5))&lt;(60/C5*C9),((C6+C4)/C8)*EXP(-MOD((180/80*(60/C5)),(60/C5))/(C8*C7))*60,-(((C6+C4)*C7*(1-EXP(-(60/C5*C9)/(C8*C7))))/(C8*C7))*EXP(-(MOD((180/80*(60/C5)),(60/C5))-(60/C5*C9))/(C8*C7))*60)</f>
        <v/>
      </c>
      <c r="E209" s="26">
        <f>(IF(MOD((180/80*(60/C5)),(60/C5))&lt;(60/C5*C9),(C6+C4)*C7*(1-EXP(-MOD((180/80*(60/C5)),(60/C5))/(C8*C7))),((C6+C4)*C7*(1-EXP(-(60/C5*C9)/(C8*C7))))*EXP(-(MOD((180/80*(60/C5)),(60/C5))-(60/C5*C9))/(C8*C7))))*1000</f>
        <v/>
      </c>
      <c r="F209" s="25">
        <f>IF(AND(MOD((180/80*(60/C5)),(60/C5))&lt;(60/C5*C9),MOD((180/80*(60/C5)),(60/C5))&lt;C12),-ABS(C11)*SIN(PI()*MOD((180/80*(60/C5)),(60/C5))/C12),0)</f>
        <v/>
      </c>
      <c r="G209" s="25">
        <f>C6*(C10/(C7+C10))+(E209/1000)/C10+F209</f>
        <v/>
      </c>
      <c r="H209" s="25">
        <f>C209-G209</f>
        <v/>
      </c>
      <c r="I209" s="25">
        <f>C6+(E209/1000)/C7</f>
        <v/>
      </c>
    </row>
    <row r="210" ht="12.95" customHeight="1" s="44">
      <c r="B210" s="27">
        <f>(181/80*(60/C5))</f>
        <v/>
      </c>
      <c r="C210" s="27">
        <f>IF(MOD((181/80*(60/C5)),(60/C5))&lt;(60/C5*C9),C6+C4,C6)</f>
        <v/>
      </c>
      <c r="D210" s="27">
        <f>IF(MOD((181/80*(60/C5)),(60/C5))&lt;(60/C5*C9),((C6+C4)/C8)*EXP(-MOD((181/80*(60/C5)),(60/C5))/(C8*C7))*60,-(((C6+C4)*C7*(1-EXP(-(60/C5*C9)/(C8*C7))))/(C8*C7))*EXP(-(MOD((181/80*(60/C5)),(60/C5))-(60/C5*C9))/(C8*C7))*60)</f>
        <v/>
      </c>
      <c r="E210" s="28">
        <f>(IF(MOD((181/80*(60/C5)),(60/C5))&lt;(60/C5*C9),(C6+C4)*C7*(1-EXP(-MOD((181/80*(60/C5)),(60/C5))/(C8*C7))),((C6+C4)*C7*(1-EXP(-(60/C5*C9)/(C8*C7))))*EXP(-(MOD((181/80*(60/C5)),(60/C5))-(60/C5*C9))/(C8*C7))))*1000</f>
        <v/>
      </c>
      <c r="F210" s="27">
        <f>IF(AND(MOD((181/80*(60/C5)),(60/C5))&lt;(60/C5*C9),MOD((181/80*(60/C5)),(60/C5))&lt;C12),-ABS(C11)*SIN(PI()*MOD((181/80*(60/C5)),(60/C5))/C12),0)</f>
        <v/>
      </c>
      <c r="G210" s="27">
        <f>C6*(C10/(C7+C10))+(E210/1000)/C10+F210</f>
        <v/>
      </c>
      <c r="H210" s="27">
        <f>C210-G210</f>
        <v/>
      </c>
      <c r="I210" s="27">
        <f>C6+(E210/1000)/C7</f>
        <v/>
      </c>
    </row>
    <row r="211" ht="12.95" customHeight="1" s="44">
      <c r="B211" s="25">
        <f>(182/80*(60/C5))</f>
        <v/>
      </c>
      <c r="C211" s="25">
        <f>IF(MOD((182/80*(60/C5)),(60/C5))&lt;(60/C5*C9),C6+C4,C6)</f>
        <v/>
      </c>
      <c r="D211" s="25">
        <f>IF(MOD((182/80*(60/C5)),(60/C5))&lt;(60/C5*C9),((C6+C4)/C8)*EXP(-MOD((182/80*(60/C5)),(60/C5))/(C8*C7))*60,-(((C6+C4)*C7*(1-EXP(-(60/C5*C9)/(C8*C7))))/(C8*C7))*EXP(-(MOD((182/80*(60/C5)),(60/C5))-(60/C5*C9))/(C8*C7))*60)</f>
        <v/>
      </c>
      <c r="E211" s="26">
        <f>(IF(MOD((182/80*(60/C5)),(60/C5))&lt;(60/C5*C9),(C6+C4)*C7*(1-EXP(-MOD((182/80*(60/C5)),(60/C5))/(C8*C7))),((C6+C4)*C7*(1-EXP(-(60/C5*C9)/(C8*C7))))*EXP(-(MOD((182/80*(60/C5)),(60/C5))-(60/C5*C9))/(C8*C7))))*1000</f>
        <v/>
      </c>
      <c r="F211" s="25">
        <f>IF(AND(MOD((182/80*(60/C5)),(60/C5))&lt;(60/C5*C9),MOD((182/80*(60/C5)),(60/C5))&lt;C12),-ABS(C11)*SIN(PI()*MOD((182/80*(60/C5)),(60/C5))/C12),0)</f>
        <v/>
      </c>
      <c r="G211" s="25">
        <f>C6*(C10/(C7+C10))+(E211/1000)/C10+F211</f>
        <v/>
      </c>
      <c r="H211" s="25">
        <f>C211-G211</f>
        <v/>
      </c>
      <c r="I211" s="25">
        <f>C6+(E211/1000)/C7</f>
        <v/>
      </c>
    </row>
    <row r="212" ht="12.95" customHeight="1" s="44">
      <c r="B212" s="27">
        <f>(183/80*(60/C5))</f>
        <v/>
      </c>
      <c r="C212" s="27">
        <f>IF(MOD((183/80*(60/C5)),(60/C5))&lt;(60/C5*C9),C6+C4,C6)</f>
        <v/>
      </c>
      <c r="D212" s="27">
        <f>IF(MOD((183/80*(60/C5)),(60/C5))&lt;(60/C5*C9),((C6+C4)/C8)*EXP(-MOD((183/80*(60/C5)),(60/C5))/(C8*C7))*60,-(((C6+C4)*C7*(1-EXP(-(60/C5*C9)/(C8*C7))))/(C8*C7))*EXP(-(MOD((183/80*(60/C5)),(60/C5))-(60/C5*C9))/(C8*C7))*60)</f>
        <v/>
      </c>
      <c r="E212" s="28">
        <f>(IF(MOD((183/80*(60/C5)),(60/C5))&lt;(60/C5*C9),(C6+C4)*C7*(1-EXP(-MOD((183/80*(60/C5)),(60/C5))/(C8*C7))),((C6+C4)*C7*(1-EXP(-(60/C5*C9)/(C8*C7))))*EXP(-(MOD((183/80*(60/C5)),(60/C5))-(60/C5*C9))/(C8*C7))))*1000</f>
        <v/>
      </c>
      <c r="F212" s="27">
        <f>IF(AND(MOD((183/80*(60/C5)),(60/C5))&lt;(60/C5*C9),MOD((183/80*(60/C5)),(60/C5))&lt;C12),-ABS(C11)*SIN(PI()*MOD((183/80*(60/C5)),(60/C5))/C12),0)</f>
        <v/>
      </c>
      <c r="G212" s="27">
        <f>C6*(C10/(C7+C10))+(E212/1000)/C10+F212</f>
        <v/>
      </c>
      <c r="H212" s="27">
        <f>C212-G212</f>
        <v/>
      </c>
      <c r="I212" s="27">
        <f>C6+(E212/1000)/C7</f>
        <v/>
      </c>
    </row>
    <row r="213" ht="12.95" customHeight="1" s="44">
      <c r="B213" s="25">
        <f>(184/80*(60/C5))</f>
        <v/>
      </c>
      <c r="C213" s="25">
        <f>IF(MOD((184/80*(60/C5)),(60/C5))&lt;(60/C5*C9),C6+C4,C6)</f>
        <v/>
      </c>
      <c r="D213" s="25">
        <f>IF(MOD((184/80*(60/C5)),(60/C5))&lt;(60/C5*C9),((C6+C4)/C8)*EXP(-MOD((184/80*(60/C5)),(60/C5))/(C8*C7))*60,-(((C6+C4)*C7*(1-EXP(-(60/C5*C9)/(C8*C7))))/(C8*C7))*EXP(-(MOD((184/80*(60/C5)),(60/C5))-(60/C5*C9))/(C8*C7))*60)</f>
        <v/>
      </c>
      <c r="E213" s="26">
        <f>(IF(MOD((184/80*(60/C5)),(60/C5))&lt;(60/C5*C9),(C6+C4)*C7*(1-EXP(-MOD((184/80*(60/C5)),(60/C5))/(C8*C7))),((C6+C4)*C7*(1-EXP(-(60/C5*C9)/(C8*C7))))*EXP(-(MOD((184/80*(60/C5)),(60/C5))-(60/C5*C9))/(C8*C7))))*1000</f>
        <v/>
      </c>
      <c r="F213" s="25">
        <f>IF(AND(MOD((184/80*(60/C5)),(60/C5))&lt;(60/C5*C9),MOD((184/80*(60/C5)),(60/C5))&lt;C12),-ABS(C11)*SIN(PI()*MOD((184/80*(60/C5)),(60/C5))/C12),0)</f>
        <v/>
      </c>
      <c r="G213" s="25">
        <f>C6*(C10/(C7+C10))+(E213/1000)/C10+F213</f>
        <v/>
      </c>
      <c r="H213" s="25">
        <f>C213-G213</f>
        <v/>
      </c>
      <c r="I213" s="25">
        <f>C6+(E213/1000)/C7</f>
        <v/>
      </c>
    </row>
    <row r="214" ht="12.95" customHeight="1" s="44">
      <c r="B214" s="27">
        <f>(185/80*(60/C5))</f>
        <v/>
      </c>
      <c r="C214" s="27">
        <f>IF(MOD((185/80*(60/C5)),(60/C5))&lt;(60/C5*C9),C6+C4,C6)</f>
        <v/>
      </c>
      <c r="D214" s="27">
        <f>IF(MOD((185/80*(60/C5)),(60/C5))&lt;(60/C5*C9),((C6+C4)/C8)*EXP(-MOD((185/80*(60/C5)),(60/C5))/(C8*C7))*60,-(((C6+C4)*C7*(1-EXP(-(60/C5*C9)/(C8*C7))))/(C8*C7))*EXP(-(MOD((185/80*(60/C5)),(60/C5))-(60/C5*C9))/(C8*C7))*60)</f>
        <v/>
      </c>
      <c r="E214" s="28">
        <f>(IF(MOD((185/80*(60/C5)),(60/C5))&lt;(60/C5*C9),(C6+C4)*C7*(1-EXP(-MOD((185/80*(60/C5)),(60/C5))/(C8*C7))),((C6+C4)*C7*(1-EXP(-(60/C5*C9)/(C8*C7))))*EXP(-(MOD((185/80*(60/C5)),(60/C5))-(60/C5*C9))/(C8*C7))))*1000</f>
        <v/>
      </c>
      <c r="F214" s="27">
        <f>IF(AND(MOD((185/80*(60/C5)),(60/C5))&lt;(60/C5*C9),MOD((185/80*(60/C5)),(60/C5))&lt;C12),-ABS(C11)*SIN(PI()*MOD((185/80*(60/C5)),(60/C5))/C12),0)</f>
        <v/>
      </c>
      <c r="G214" s="27">
        <f>C6*(C10/(C7+C10))+(E214/1000)/C10+F214</f>
        <v/>
      </c>
      <c r="H214" s="27">
        <f>C214-G214</f>
        <v/>
      </c>
      <c r="I214" s="27">
        <f>C6+(E214/1000)/C7</f>
        <v/>
      </c>
    </row>
    <row r="215" ht="12.95" customHeight="1" s="44">
      <c r="B215" s="25">
        <f>(186/80*(60/C5))</f>
        <v/>
      </c>
      <c r="C215" s="25">
        <f>IF(MOD((186/80*(60/C5)),(60/C5))&lt;(60/C5*C9),C6+C4,C6)</f>
        <v/>
      </c>
      <c r="D215" s="25">
        <f>IF(MOD((186/80*(60/C5)),(60/C5))&lt;(60/C5*C9),((C6+C4)/C8)*EXP(-MOD((186/80*(60/C5)),(60/C5))/(C8*C7))*60,-(((C6+C4)*C7*(1-EXP(-(60/C5*C9)/(C8*C7))))/(C8*C7))*EXP(-(MOD((186/80*(60/C5)),(60/C5))-(60/C5*C9))/(C8*C7))*60)</f>
        <v/>
      </c>
      <c r="E215" s="26">
        <f>(IF(MOD((186/80*(60/C5)),(60/C5))&lt;(60/C5*C9),(C6+C4)*C7*(1-EXP(-MOD((186/80*(60/C5)),(60/C5))/(C8*C7))),((C6+C4)*C7*(1-EXP(-(60/C5*C9)/(C8*C7))))*EXP(-(MOD((186/80*(60/C5)),(60/C5))-(60/C5*C9))/(C8*C7))))*1000</f>
        <v/>
      </c>
      <c r="F215" s="25">
        <f>IF(AND(MOD((186/80*(60/C5)),(60/C5))&lt;(60/C5*C9),MOD((186/80*(60/C5)),(60/C5))&lt;C12),-ABS(C11)*SIN(PI()*MOD((186/80*(60/C5)),(60/C5))/C12),0)</f>
        <v/>
      </c>
      <c r="G215" s="25">
        <f>C6*(C10/(C7+C10))+(E215/1000)/C10+F215</f>
        <v/>
      </c>
      <c r="H215" s="25">
        <f>C215-G215</f>
        <v/>
      </c>
      <c r="I215" s="25">
        <f>C6+(E215/1000)/C7</f>
        <v/>
      </c>
    </row>
    <row r="216" ht="12.95" customHeight="1" s="44">
      <c r="B216" s="27">
        <f>(187/80*(60/C5))</f>
        <v/>
      </c>
      <c r="C216" s="27">
        <f>IF(MOD((187/80*(60/C5)),(60/C5))&lt;(60/C5*C9),C6+C4,C6)</f>
        <v/>
      </c>
      <c r="D216" s="27">
        <f>IF(MOD((187/80*(60/C5)),(60/C5))&lt;(60/C5*C9),((C6+C4)/C8)*EXP(-MOD((187/80*(60/C5)),(60/C5))/(C8*C7))*60,-(((C6+C4)*C7*(1-EXP(-(60/C5*C9)/(C8*C7))))/(C8*C7))*EXP(-(MOD((187/80*(60/C5)),(60/C5))-(60/C5*C9))/(C8*C7))*60)</f>
        <v/>
      </c>
      <c r="E216" s="28">
        <f>(IF(MOD((187/80*(60/C5)),(60/C5))&lt;(60/C5*C9),(C6+C4)*C7*(1-EXP(-MOD((187/80*(60/C5)),(60/C5))/(C8*C7))),((C6+C4)*C7*(1-EXP(-(60/C5*C9)/(C8*C7))))*EXP(-(MOD((187/80*(60/C5)),(60/C5))-(60/C5*C9))/(C8*C7))))*1000</f>
        <v/>
      </c>
      <c r="F216" s="27">
        <f>IF(AND(MOD((187/80*(60/C5)),(60/C5))&lt;(60/C5*C9),MOD((187/80*(60/C5)),(60/C5))&lt;C12),-ABS(C11)*SIN(PI()*MOD((187/80*(60/C5)),(60/C5))/C12),0)</f>
        <v/>
      </c>
      <c r="G216" s="27">
        <f>C6*(C10/(C7+C10))+(E216/1000)/C10+F216</f>
        <v/>
      </c>
      <c r="H216" s="27">
        <f>C216-G216</f>
        <v/>
      </c>
      <c r="I216" s="27">
        <f>C6+(E216/1000)/C7</f>
        <v/>
      </c>
    </row>
    <row r="217" ht="12.95" customHeight="1" s="44">
      <c r="B217" s="25">
        <f>(188/80*(60/C5))</f>
        <v/>
      </c>
      <c r="C217" s="25">
        <f>IF(MOD((188/80*(60/C5)),(60/C5))&lt;(60/C5*C9),C6+C4,C6)</f>
        <v/>
      </c>
      <c r="D217" s="25">
        <f>IF(MOD((188/80*(60/C5)),(60/C5))&lt;(60/C5*C9),((C6+C4)/C8)*EXP(-MOD((188/80*(60/C5)),(60/C5))/(C8*C7))*60,-(((C6+C4)*C7*(1-EXP(-(60/C5*C9)/(C8*C7))))/(C8*C7))*EXP(-(MOD((188/80*(60/C5)),(60/C5))-(60/C5*C9))/(C8*C7))*60)</f>
        <v/>
      </c>
      <c r="E217" s="26">
        <f>(IF(MOD((188/80*(60/C5)),(60/C5))&lt;(60/C5*C9),(C6+C4)*C7*(1-EXP(-MOD((188/80*(60/C5)),(60/C5))/(C8*C7))),((C6+C4)*C7*(1-EXP(-(60/C5*C9)/(C8*C7))))*EXP(-(MOD((188/80*(60/C5)),(60/C5))-(60/C5*C9))/(C8*C7))))*1000</f>
        <v/>
      </c>
      <c r="F217" s="25">
        <f>IF(AND(MOD((188/80*(60/C5)),(60/C5))&lt;(60/C5*C9),MOD((188/80*(60/C5)),(60/C5))&lt;C12),-ABS(C11)*SIN(PI()*MOD((188/80*(60/C5)),(60/C5))/C12),0)</f>
        <v/>
      </c>
      <c r="G217" s="25">
        <f>C6*(C10/(C7+C10))+(E217/1000)/C10+F217</f>
        <v/>
      </c>
      <c r="H217" s="25">
        <f>C217-G217</f>
        <v/>
      </c>
      <c r="I217" s="25">
        <f>C6+(E217/1000)/C7</f>
        <v/>
      </c>
    </row>
    <row r="218" ht="12.95" customHeight="1" s="44">
      <c r="B218" s="27">
        <f>(189/80*(60/C5))</f>
        <v/>
      </c>
      <c r="C218" s="27">
        <f>IF(MOD((189/80*(60/C5)),(60/C5))&lt;(60/C5*C9),C6+C4,C6)</f>
        <v/>
      </c>
      <c r="D218" s="27">
        <f>IF(MOD((189/80*(60/C5)),(60/C5))&lt;(60/C5*C9),((C6+C4)/C8)*EXP(-MOD((189/80*(60/C5)),(60/C5))/(C8*C7))*60,-(((C6+C4)*C7*(1-EXP(-(60/C5*C9)/(C8*C7))))/(C8*C7))*EXP(-(MOD((189/80*(60/C5)),(60/C5))-(60/C5*C9))/(C8*C7))*60)</f>
        <v/>
      </c>
      <c r="E218" s="28">
        <f>(IF(MOD((189/80*(60/C5)),(60/C5))&lt;(60/C5*C9),(C6+C4)*C7*(1-EXP(-MOD((189/80*(60/C5)),(60/C5))/(C8*C7))),((C6+C4)*C7*(1-EXP(-(60/C5*C9)/(C8*C7))))*EXP(-(MOD((189/80*(60/C5)),(60/C5))-(60/C5*C9))/(C8*C7))))*1000</f>
        <v/>
      </c>
      <c r="F218" s="27">
        <f>IF(AND(MOD((189/80*(60/C5)),(60/C5))&lt;(60/C5*C9),MOD((189/80*(60/C5)),(60/C5))&lt;C12),-ABS(C11)*SIN(PI()*MOD((189/80*(60/C5)),(60/C5))/C12),0)</f>
        <v/>
      </c>
      <c r="G218" s="27">
        <f>C6*(C10/(C7+C10))+(E218/1000)/C10+F218</f>
        <v/>
      </c>
      <c r="H218" s="27">
        <f>C218-G218</f>
        <v/>
      </c>
      <c r="I218" s="27">
        <f>C6+(E218/1000)/C7</f>
        <v/>
      </c>
    </row>
    <row r="219" ht="12.95" customHeight="1" s="44">
      <c r="B219" s="25">
        <f>(190/80*(60/C5))</f>
        <v/>
      </c>
      <c r="C219" s="25">
        <f>IF(MOD((190/80*(60/C5)),(60/C5))&lt;(60/C5*C9),C6+C4,C6)</f>
        <v/>
      </c>
      <c r="D219" s="25">
        <f>IF(MOD((190/80*(60/C5)),(60/C5))&lt;(60/C5*C9),((C6+C4)/C8)*EXP(-MOD((190/80*(60/C5)),(60/C5))/(C8*C7))*60,-(((C6+C4)*C7*(1-EXP(-(60/C5*C9)/(C8*C7))))/(C8*C7))*EXP(-(MOD((190/80*(60/C5)),(60/C5))-(60/C5*C9))/(C8*C7))*60)</f>
        <v/>
      </c>
      <c r="E219" s="26">
        <f>(IF(MOD((190/80*(60/C5)),(60/C5))&lt;(60/C5*C9),(C6+C4)*C7*(1-EXP(-MOD((190/80*(60/C5)),(60/C5))/(C8*C7))),((C6+C4)*C7*(1-EXP(-(60/C5*C9)/(C8*C7))))*EXP(-(MOD((190/80*(60/C5)),(60/C5))-(60/C5*C9))/(C8*C7))))*1000</f>
        <v/>
      </c>
      <c r="F219" s="25">
        <f>IF(AND(MOD((190/80*(60/C5)),(60/C5))&lt;(60/C5*C9),MOD((190/80*(60/C5)),(60/C5))&lt;C12),-ABS(C11)*SIN(PI()*MOD((190/80*(60/C5)),(60/C5))/C12),0)</f>
        <v/>
      </c>
      <c r="G219" s="25">
        <f>C6*(C10/(C7+C10))+(E219/1000)/C10+F219</f>
        <v/>
      </c>
      <c r="H219" s="25">
        <f>C219-G219</f>
        <v/>
      </c>
      <c r="I219" s="25">
        <f>C6+(E219/1000)/C7</f>
        <v/>
      </c>
    </row>
    <row r="220" ht="12.95" customHeight="1" s="44">
      <c r="B220" s="27">
        <f>(191/80*(60/C5))</f>
        <v/>
      </c>
      <c r="C220" s="27">
        <f>IF(MOD((191/80*(60/C5)),(60/C5))&lt;(60/C5*C9),C6+C4,C6)</f>
        <v/>
      </c>
      <c r="D220" s="27">
        <f>IF(MOD((191/80*(60/C5)),(60/C5))&lt;(60/C5*C9),((C6+C4)/C8)*EXP(-MOD((191/80*(60/C5)),(60/C5))/(C8*C7))*60,-(((C6+C4)*C7*(1-EXP(-(60/C5*C9)/(C8*C7))))/(C8*C7))*EXP(-(MOD((191/80*(60/C5)),(60/C5))-(60/C5*C9))/(C8*C7))*60)</f>
        <v/>
      </c>
      <c r="E220" s="28">
        <f>(IF(MOD((191/80*(60/C5)),(60/C5))&lt;(60/C5*C9),(C6+C4)*C7*(1-EXP(-MOD((191/80*(60/C5)),(60/C5))/(C8*C7))),((C6+C4)*C7*(1-EXP(-(60/C5*C9)/(C8*C7))))*EXP(-(MOD((191/80*(60/C5)),(60/C5))-(60/C5*C9))/(C8*C7))))*1000</f>
        <v/>
      </c>
      <c r="F220" s="27">
        <f>IF(AND(MOD((191/80*(60/C5)),(60/C5))&lt;(60/C5*C9),MOD((191/80*(60/C5)),(60/C5))&lt;C12),-ABS(C11)*SIN(PI()*MOD((191/80*(60/C5)),(60/C5))/C12),0)</f>
        <v/>
      </c>
      <c r="G220" s="27">
        <f>C6*(C10/(C7+C10))+(E220/1000)/C10+F220</f>
        <v/>
      </c>
      <c r="H220" s="27">
        <f>C220-G220</f>
        <v/>
      </c>
      <c r="I220" s="27">
        <f>C6+(E220/1000)/C7</f>
        <v/>
      </c>
    </row>
    <row r="221" ht="12.95" customHeight="1" s="44">
      <c r="B221" s="25">
        <f>(192/80*(60/C5))</f>
        <v/>
      </c>
      <c r="C221" s="25">
        <f>IF(MOD((192/80*(60/C5)),(60/C5))&lt;(60/C5*C9),C6+C4,C6)</f>
        <v/>
      </c>
      <c r="D221" s="25">
        <f>IF(MOD((192/80*(60/C5)),(60/C5))&lt;(60/C5*C9),((C6+C4)/C8)*EXP(-MOD((192/80*(60/C5)),(60/C5))/(C8*C7))*60,-(((C6+C4)*C7*(1-EXP(-(60/C5*C9)/(C8*C7))))/(C8*C7))*EXP(-(MOD((192/80*(60/C5)),(60/C5))-(60/C5*C9))/(C8*C7))*60)</f>
        <v/>
      </c>
      <c r="E221" s="26">
        <f>(IF(MOD((192/80*(60/C5)),(60/C5))&lt;(60/C5*C9),(C6+C4)*C7*(1-EXP(-MOD((192/80*(60/C5)),(60/C5))/(C8*C7))),((C6+C4)*C7*(1-EXP(-(60/C5*C9)/(C8*C7))))*EXP(-(MOD((192/80*(60/C5)),(60/C5))-(60/C5*C9))/(C8*C7))))*1000</f>
        <v/>
      </c>
      <c r="F221" s="25">
        <f>IF(AND(MOD((192/80*(60/C5)),(60/C5))&lt;(60/C5*C9),MOD((192/80*(60/C5)),(60/C5))&lt;C12),-ABS(C11)*SIN(PI()*MOD((192/80*(60/C5)),(60/C5))/C12),0)</f>
        <v/>
      </c>
      <c r="G221" s="25">
        <f>C6*(C10/(C7+C10))+(E221/1000)/C10+F221</f>
        <v/>
      </c>
      <c r="H221" s="25">
        <f>C221-G221</f>
        <v/>
      </c>
      <c r="I221" s="25">
        <f>C6+(E221/1000)/C7</f>
        <v/>
      </c>
    </row>
    <row r="222" ht="12.95" customHeight="1" s="44">
      <c r="B222" s="27">
        <f>(193/80*(60/C5))</f>
        <v/>
      </c>
      <c r="C222" s="27">
        <f>IF(MOD((193/80*(60/C5)),(60/C5))&lt;(60/C5*C9),C6+C4,C6)</f>
        <v/>
      </c>
      <c r="D222" s="27">
        <f>IF(MOD((193/80*(60/C5)),(60/C5))&lt;(60/C5*C9),((C6+C4)/C8)*EXP(-MOD((193/80*(60/C5)),(60/C5))/(C8*C7))*60,-(((C6+C4)*C7*(1-EXP(-(60/C5*C9)/(C8*C7))))/(C8*C7))*EXP(-(MOD((193/80*(60/C5)),(60/C5))-(60/C5*C9))/(C8*C7))*60)</f>
        <v/>
      </c>
      <c r="E222" s="28">
        <f>(IF(MOD((193/80*(60/C5)),(60/C5))&lt;(60/C5*C9),(C6+C4)*C7*(1-EXP(-MOD((193/80*(60/C5)),(60/C5))/(C8*C7))),((C6+C4)*C7*(1-EXP(-(60/C5*C9)/(C8*C7))))*EXP(-(MOD((193/80*(60/C5)),(60/C5))-(60/C5*C9))/(C8*C7))))*1000</f>
        <v/>
      </c>
      <c r="F222" s="27">
        <f>IF(AND(MOD((193/80*(60/C5)),(60/C5))&lt;(60/C5*C9),MOD((193/80*(60/C5)),(60/C5))&lt;C12),-ABS(C11)*SIN(PI()*MOD((193/80*(60/C5)),(60/C5))/C12),0)</f>
        <v/>
      </c>
      <c r="G222" s="27">
        <f>C6*(C10/(C7+C10))+(E222/1000)/C10+F222</f>
        <v/>
      </c>
      <c r="H222" s="27">
        <f>C222-G222</f>
        <v/>
      </c>
      <c r="I222" s="27">
        <f>C6+(E222/1000)/C7</f>
        <v/>
      </c>
    </row>
    <row r="223" ht="12.95" customHeight="1" s="44">
      <c r="B223" s="25">
        <f>(194/80*(60/C5))</f>
        <v/>
      </c>
      <c r="C223" s="25">
        <f>IF(MOD((194/80*(60/C5)),(60/C5))&lt;(60/C5*C9),C6+C4,C6)</f>
        <v/>
      </c>
      <c r="D223" s="25">
        <f>IF(MOD((194/80*(60/C5)),(60/C5))&lt;(60/C5*C9),((C6+C4)/C8)*EXP(-MOD((194/80*(60/C5)),(60/C5))/(C8*C7))*60,-(((C6+C4)*C7*(1-EXP(-(60/C5*C9)/(C8*C7))))/(C8*C7))*EXP(-(MOD((194/80*(60/C5)),(60/C5))-(60/C5*C9))/(C8*C7))*60)</f>
        <v/>
      </c>
      <c r="E223" s="26">
        <f>(IF(MOD((194/80*(60/C5)),(60/C5))&lt;(60/C5*C9),(C6+C4)*C7*(1-EXP(-MOD((194/80*(60/C5)),(60/C5))/(C8*C7))),((C6+C4)*C7*(1-EXP(-(60/C5*C9)/(C8*C7))))*EXP(-(MOD((194/80*(60/C5)),(60/C5))-(60/C5*C9))/(C8*C7))))*1000</f>
        <v/>
      </c>
      <c r="F223" s="25">
        <f>IF(AND(MOD((194/80*(60/C5)),(60/C5))&lt;(60/C5*C9),MOD((194/80*(60/C5)),(60/C5))&lt;C12),-ABS(C11)*SIN(PI()*MOD((194/80*(60/C5)),(60/C5))/C12),0)</f>
        <v/>
      </c>
      <c r="G223" s="25">
        <f>C6*(C10/(C7+C10))+(E223/1000)/C10+F223</f>
        <v/>
      </c>
      <c r="H223" s="25">
        <f>C223-G223</f>
        <v/>
      </c>
      <c r="I223" s="25">
        <f>C6+(E223/1000)/C7</f>
        <v/>
      </c>
    </row>
    <row r="224" ht="12.95" customHeight="1" s="44">
      <c r="B224" s="27">
        <f>(195/80*(60/C5))</f>
        <v/>
      </c>
      <c r="C224" s="27">
        <f>IF(MOD((195/80*(60/C5)),(60/C5))&lt;(60/C5*C9),C6+C4,C6)</f>
        <v/>
      </c>
      <c r="D224" s="27">
        <f>IF(MOD((195/80*(60/C5)),(60/C5))&lt;(60/C5*C9),((C6+C4)/C8)*EXP(-MOD((195/80*(60/C5)),(60/C5))/(C8*C7))*60,-(((C6+C4)*C7*(1-EXP(-(60/C5*C9)/(C8*C7))))/(C8*C7))*EXP(-(MOD((195/80*(60/C5)),(60/C5))-(60/C5*C9))/(C8*C7))*60)</f>
        <v/>
      </c>
      <c r="E224" s="28">
        <f>(IF(MOD((195/80*(60/C5)),(60/C5))&lt;(60/C5*C9),(C6+C4)*C7*(1-EXP(-MOD((195/80*(60/C5)),(60/C5))/(C8*C7))),((C6+C4)*C7*(1-EXP(-(60/C5*C9)/(C8*C7))))*EXP(-(MOD((195/80*(60/C5)),(60/C5))-(60/C5*C9))/(C8*C7))))*1000</f>
        <v/>
      </c>
      <c r="F224" s="27">
        <f>IF(AND(MOD((195/80*(60/C5)),(60/C5))&lt;(60/C5*C9),MOD((195/80*(60/C5)),(60/C5))&lt;C12),-ABS(C11)*SIN(PI()*MOD((195/80*(60/C5)),(60/C5))/C12),0)</f>
        <v/>
      </c>
      <c r="G224" s="27">
        <f>C6*(C10/(C7+C10))+(E224/1000)/C10+F224</f>
        <v/>
      </c>
      <c r="H224" s="27">
        <f>C224-G224</f>
        <v/>
      </c>
      <c r="I224" s="27">
        <f>C6+(E224/1000)/C7</f>
        <v/>
      </c>
    </row>
    <row r="225" ht="12.95" customHeight="1" s="44">
      <c r="B225" s="25">
        <f>(196/80*(60/C5))</f>
        <v/>
      </c>
      <c r="C225" s="25">
        <f>IF(MOD((196/80*(60/C5)),(60/C5))&lt;(60/C5*C9),C6+C4,C6)</f>
        <v/>
      </c>
      <c r="D225" s="25">
        <f>IF(MOD((196/80*(60/C5)),(60/C5))&lt;(60/C5*C9),((C6+C4)/C8)*EXP(-MOD((196/80*(60/C5)),(60/C5))/(C8*C7))*60,-(((C6+C4)*C7*(1-EXP(-(60/C5*C9)/(C8*C7))))/(C8*C7))*EXP(-(MOD((196/80*(60/C5)),(60/C5))-(60/C5*C9))/(C8*C7))*60)</f>
        <v/>
      </c>
      <c r="E225" s="26">
        <f>(IF(MOD((196/80*(60/C5)),(60/C5))&lt;(60/C5*C9),(C6+C4)*C7*(1-EXP(-MOD((196/80*(60/C5)),(60/C5))/(C8*C7))),((C6+C4)*C7*(1-EXP(-(60/C5*C9)/(C8*C7))))*EXP(-(MOD((196/80*(60/C5)),(60/C5))-(60/C5*C9))/(C8*C7))))*1000</f>
        <v/>
      </c>
      <c r="F225" s="25">
        <f>IF(AND(MOD((196/80*(60/C5)),(60/C5))&lt;(60/C5*C9),MOD((196/80*(60/C5)),(60/C5))&lt;C12),-ABS(C11)*SIN(PI()*MOD((196/80*(60/C5)),(60/C5))/C12),0)</f>
        <v/>
      </c>
      <c r="G225" s="25">
        <f>C6*(C10/(C7+C10))+(E225/1000)/C10+F225</f>
        <v/>
      </c>
      <c r="H225" s="25">
        <f>C225-G225</f>
        <v/>
      </c>
      <c r="I225" s="25">
        <f>C6+(E225/1000)/C7</f>
        <v/>
      </c>
    </row>
    <row r="226" ht="12.95" customHeight="1" s="44">
      <c r="B226" s="27">
        <f>(197/80*(60/C5))</f>
        <v/>
      </c>
      <c r="C226" s="27">
        <f>IF(MOD((197/80*(60/C5)),(60/C5))&lt;(60/C5*C9),C6+C4,C6)</f>
        <v/>
      </c>
      <c r="D226" s="27">
        <f>IF(MOD((197/80*(60/C5)),(60/C5))&lt;(60/C5*C9),((C6+C4)/C8)*EXP(-MOD((197/80*(60/C5)),(60/C5))/(C8*C7))*60,-(((C6+C4)*C7*(1-EXP(-(60/C5*C9)/(C8*C7))))/(C8*C7))*EXP(-(MOD((197/80*(60/C5)),(60/C5))-(60/C5*C9))/(C8*C7))*60)</f>
        <v/>
      </c>
      <c r="E226" s="28">
        <f>(IF(MOD((197/80*(60/C5)),(60/C5))&lt;(60/C5*C9),(C6+C4)*C7*(1-EXP(-MOD((197/80*(60/C5)),(60/C5))/(C8*C7))),((C6+C4)*C7*(1-EXP(-(60/C5*C9)/(C8*C7))))*EXP(-(MOD((197/80*(60/C5)),(60/C5))-(60/C5*C9))/(C8*C7))))*1000</f>
        <v/>
      </c>
      <c r="F226" s="27">
        <f>IF(AND(MOD((197/80*(60/C5)),(60/C5))&lt;(60/C5*C9),MOD((197/80*(60/C5)),(60/C5))&lt;C12),-ABS(C11)*SIN(PI()*MOD((197/80*(60/C5)),(60/C5))/C12),0)</f>
        <v/>
      </c>
      <c r="G226" s="27">
        <f>C6*(C10/(C7+C10))+(E226/1000)/C10+F226</f>
        <v/>
      </c>
      <c r="H226" s="27">
        <f>C226-G226</f>
        <v/>
      </c>
      <c r="I226" s="27">
        <f>C6+(E226/1000)/C7</f>
        <v/>
      </c>
    </row>
    <row r="227" ht="12.95" customHeight="1" s="44">
      <c r="B227" s="25">
        <f>(198/80*(60/C5))</f>
        <v/>
      </c>
      <c r="C227" s="25">
        <f>IF(MOD((198/80*(60/C5)),(60/C5))&lt;(60/C5*C9),C6+C4,C6)</f>
        <v/>
      </c>
      <c r="D227" s="25">
        <f>IF(MOD((198/80*(60/C5)),(60/C5))&lt;(60/C5*C9),((C6+C4)/C8)*EXP(-MOD((198/80*(60/C5)),(60/C5))/(C8*C7))*60,-(((C6+C4)*C7*(1-EXP(-(60/C5*C9)/(C8*C7))))/(C8*C7))*EXP(-(MOD((198/80*(60/C5)),(60/C5))-(60/C5*C9))/(C8*C7))*60)</f>
        <v/>
      </c>
      <c r="E227" s="26">
        <f>(IF(MOD((198/80*(60/C5)),(60/C5))&lt;(60/C5*C9),(C6+C4)*C7*(1-EXP(-MOD((198/80*(60/C5)),(60/C5))/(C8*C7))),((C6+C4)*C7*(1-EXP(-(60/C5*C9)/(C8*C7))))*EXP(-(MOD((198/80*(60/C5)),(60/C5))-(60/C5*C9))/(C8*C7))))*1000</f>
        <v/>
      </c>
      <c r="F227" s="25">
        <f>IF(AND(MOD((198/80*(60/C5)),(60/C5))&lt;(60/C5*C9),MOD((198/80*(60/C5)),(60/C5))&lt;C12),-ABS(C11)*SIN(PI()*MOD((198/80*(60/C5)),(60/C5))/C12),0)</f>
        <v/>
      </c>
      <c r="G227" s="25">
        <f>C6*(C10/(C7+C10))+(E227/1000)/C10+F227</f>
        <v/>
      </c>
      <c r="H227" s="25">
        <f>C227-G227</f>
        <v/>
      </c>
      <c r="I227" s="25">
        <f>C6+(E227/1000)/C7</f>
        <v/>
      </c>
    </row>
    <row r="228" ht="12.95" customHeight="1" s="44">
      <c r="B228" s="27">
        <f>(199/80*(60/C5))</f>
        <v/>
      </c>
      <c r="C228" s="27">
        <f>IF(MOD((199/80*(60/C5)),(60/C5))&lt;(60/C5*C9),C6+C4,C6)</f>
        <v/>
      </c>
      <c r="D228" s="27">
        <f>IF(MOD((199/80*(60/C5)),(60/C5))&lt;(60/C5*C9),((C6+C4)/C8)*EXP(-MOD((199/80*(60/C5)),(60/C5))/(C8*C7))*60,-(((C6+C4)*C7*(1-EXP(-(60/C5*C9)/(C8*C7))))/(C8*C7))*EXP(-(MOD((199/80*(60/C5)),(60/C5))-(60/C5*C9))/(C8*C7))*60)</f>
        <v/>
      </c>
      <c r="E228" s="28">
        <f>(IF(MOD((199/80*(60/C5)),(60/C5))&lt;(60/C5*C9),(C6+C4)*C7*(1-EXP(-MOD((199/80*(60/C5)),(60/C5))/(C8*C7))),((C6+C4)*C7*(1-EXP(-(60/C5*C9)/(C8*C7))))*EXP(-(MOD((199/80*(60/C5)),(60/C5))-(60/C5*C9))/(C8*C7))))*1000</f>
        <v/>
      </c>
      <c r="F228" s="27">
        <f>IF(AND(MOD((199/80*(60/C5)),(60/C5))&lt;(60/C5*C9),MOD((199/80*(60/C5)),(60/C5))&lt;C12),-ABS(C11)*SIN(PI()*MOD((199/80*(60/C5)),(60/C5))/C12),0)</f>
        <v/>
      </c>
      <c r="G228" s="27">
        <f>C6*(C10/(C7+C10))+(E228/1000)/C10+F228</f>
        <v/>
      </c>
      <c r="H228" s="27">
        <f>C228-G228</f>
        <v/>
      </c>
      <c r="I228" s="27">
        <f>C6+(E228/1000)/C7</f>
        <v/>
      </c>
    </row>
    <row r="229" ht="12.95" customHeight="1" s="44">
      <c r="B229" s="25">
        <f>(200/80*(60/C5))</f>
        <v/>
      </c>
      <c r="C229" s="25">
        <f>IF(MOD((200/80*(60/C5)),(60/C5))&lt;(60/C5*C9),C6+C4,C6)</f>
        <v/>
      </c>
      <c r="D229" s="25">
        <f>IF(MOD((200/80*(60/C5)),(60/C5))&lt;(60/C5*C9),((C6+C4)/C8)*EXP(-MOD((200/80*(60/C5)),(60/C5))/(C8*C7))*60,-(((C6+C4)*C7*(1-EXP(-(60/C5*C9)/(C8*C7))))/(C8*C7))*EXP(-(MOD((200/80*(60/C5)),(60/C5))-(60/C5*C9))/(C8*C7))*60)</f>
        <v/>
      </c>
      <c r="E229" s="26">
        <f>(IF(MOD((200/80*(60/C5)),(60/C5))&lt;(60/C5*C9),(C6+C4)*C7*(1-EXP(-MOD((200/80*(60/C5)),(60/C5))/(C8*C7))),((C6+C4)*C7*(1-EXP(-(60/C5*C9)/(C8*C7))))*EXP(-(MOD((200/80*(60/C5)),(60/C5))-(60/C5*C9))/(C8*C7))))*1000</f>
        <v/>
      </c>
      <c r="F229" s="25">
        <f>IF(AND(MOD((200/80*(60/C5)),(60/C5))&lt;(60/C5*C9),MOD((200/80*(60/C5)),(60/C5))&lt;C12),-ABS(C11)*SIN(PI()*MOD((200/80*(60/C5)),(60/C5))/C12),0)</f>
        <v/>
      </c>
      <c r="G229" s="25">
        <f>C6*(C10/(C7+C10))+(E229/1000)/C10+F229</f>
        <v/>
      </c>
      <c r="H229" s="25">
        <f>C229-G229</f>
        <v/>
      </c>
      <c r="I229" s="25">
        <f>C6+(E229/1000)/C7</f>
        <v/>
      </c>
    </row>
    <row r="230" ht="12.95" customHeight="1" s="44">
      <c r="B230" s="27">
        <f>(201/80*(60/C5))</f>
        <v/>
      </c>
      <c r="C230" s="27">
        <f>IF(MOD((201/80*(60/C5)),(60/C5))&lt;(60/C5*C9),C6+C4,C6)</f>
        <v/>
      </c>
      <c r="D230" s="27">
        <f>IF(MOD((201/80*(60/C5)),(60/C5))&lt;(60/C5*C9),((C6+C4)/C8)*EXP(-MOD((201/80*(60/C5)),(60/C5))/(C8*C7))*60,-(((C6+C4)*C7*(1-EXP(-(60/C5*C9)/(C8*C7))))/(C8*C7))*EXP(-(MOD((201/80*(60/C5)),(60/C5))-(60/C5*C9))/(C8*C7))*60)</f>
        <v/>
      </c>
      <c r="E230" s="28">
        <f>(IF(MOD((201/80*(60/C5)),(60/C5))&lt;(60/C5*C9),(C6+C4)*C7*(1-EXP(-MOD((201/80*(60/C5)),(60/C5))/(C8*C7))),((C6+C4)*C7*(1-EXP(-(60/C5*C9)/(C8*C7))))*EXP(-(MOD((201/80*(60/C5)),(60/C5))-(60/C5*C9))/(C8*C7))))*1000</f>
        <v/>
      </c>
      <c r="F230" s="27">
        <f>IF(AND(MOD((201/80*(60/C5)),(60/C5))&lt;(60/C5*C9),MOD((201/80*(60/C5)),(60/C5))&lt;C12),-ABS(C11)*SIN(PI()*MOD((201/80*(60/C5)),(60/C5))/C12),0)</f>
        <v/>
      </c>
      <c r="G230" s="27">
        <f>C6*(C10/(C7+C10))+(E230/1000)/C10+F230</f>
        <v/>
      </c>
      <c r="H230" s="27">
        <f>C230-G230</f>
        <v/>
      </c>
      <c r="I230" s="27">
        <f>C6+(E230/1000)/C7</f>
        <v/>
      </c>
    </row>
    <row r="231" ht="12.95" customHeight="1" s="44">
      <c r="B231" s="25">
        <f>(202/80*(60/C5))</f>
        <v/>
      </c>
      <c r="C231" s="25">
        <f>IF(MOD((202/80*(60/C5)),(60/C5))&lt;(60/C5*C9),C6+C4,C6)</f>
        <v/>
      </c>
      <c r="D231" s="25">
        <f>IF(MOD((202/80*(60/C5)),(60/C5))&lt;(60/C5*C9),((C6+C4)/C8)*EXP(-MOD((202/80*(60/C5)),(60/C5))/(C8*C7))*60,-(((C6+C4)*C7*(1-EXP(-(60/C5*C9)/(C8*C7))))/(C8*C7))*EXP(-(MOD((202/80*(60/C5)),(60/C5))-(60/C5*C9))/(C8*C7))*60)</f>
        <v/>
      </c>
      <c r="E231" s="26">
        <f>(IF(MOD((202/80*(60/C5)),(60/C5))&lt;(60/C5*C9),(C6+C4)*C7*(1-EXP(-MOD((202/80*(60/C5)),(60/C5))/(C8*C7))),((C6+C4)*C7*(1-EXP(-(60/C5*C9)/(C8*C7))))*EXP(-(MOD((202/80*(60/C5)),(60/C5))-(60/C5*C9))/(C8*C7))))*1000</f>
        <v/>
      </c>
      <c r="F231" s="25">
        <f>IF(AND(MOD((202/80*(60/C5)),(60/C5))&lt;(60/C5*C9),MOD((202/80*(60/C5)),(60/C5))&lt;C12),-ABS(C11)*SIN(PI()*MOD((202/80*(60/C5)),(60/C5))/C12),0)</f>
        <v/>
      </c>
      <c r="G231" s="25">
        <f>C6*(C10/(C7+C10))+(E231/1000)/C10+F231</f>
        <v/>
      </c>
      <c r="H231" s="25">
        <f>C231-G231</f>
        <v/>
      </c>
      <c r="I231" s="25">
        <f>C6+(E231/1000)/C7</f>
        <v/>
      </c>
    </row>
    <row r="232" ht="12.95" customHeight="1" s="44">
      <c r="B232" s="27">
        <f>(203/80*(60/C5))</f>
        <v/>
      </c>
      <c r="C232" s="27">
        <f>IF(MOD((203/80*(60/C5)),(60/C5))&lt;(60/C5*C9),C6+C4,C6)</f>
        <v/>
      </c>
      <c r="D232" s="27">
        <f>IF(MOD((203/80*(60/C5)),(60/C5))&lt;(60/C5*C9),((C6+C4)/C8)*EXP(-MOD((203/80*(60/C5)),(60/C5))/(C8*C7))*60,-(((C6+C4)*C7*(1-EXP(-(60/C5*C9)/(C8*C7))))/(C8*C7))*EXP(-(MOD((203/80*(60/C5)),(60/C5))-(60/C5*C9))/(C8*C7))*60)</f>
        <v/>
      </c>
      <c r="E232" s="28">
        <f>(IF(MOD((203/80*(60/C5)),(60/C5))&lt;(60/C5*C9),(C6+C4)*C7*(1-EXP(-MOD((203/80*(60/C5)),(60/C5))/(C8*C7))),((C6+C4)*C7*(1-EXP(-(60/C5*C9)/(C8*C7))))*EXP(-(MOD((203/80*(60/C5)),(60/C5))-(60/C5*C9))/(C8*C7))))*1000</f>
        <v/>
      </c>
      <c r="F232" s="27">
        <f>IF(AND(MOD((203/80*(60/C5)),(60/C5))&lt;(60/C5*C9),MOD((203/80*(60/C5)),(60/C5))&lt;C12),-ABS(C11)*SIN(PI()*MOD((203/80*(60/C5)),(60/C5))/C12),0)</f>
        <v/>
      </c>
      <c r="G232" s="27">
        <f>C6*(C10/(C7+C10))+(E232/1000)/C10+F232</f>
        <v/>
      </c>
      <c r="H232" s="27">
        <f>C232-G232</f>
        <v/>
      </c>
      <c r="I232" s="27">
        <f>C6+(E232/1000)/C7</f>
        <v/>
      </c>
    </row>
    <row r="233" ht="12.95" customHeight="1" s="44">
      <c r="B233" s="25">
        <f>(204/80*(60/C5))</f>
        <v/>
      </c>
      <c r="C233" s="25">
        <f>IF(MOD((204/80*(60/C5)),(60/C5))&lt;(60/C5*C9),C6+C4,C6)</f>
        <v/>
      </c>
      <c r="D233" s="25">
        <f>IF(MOD((204/80*(60/C5)),(60/C5))&lt;(60/C5*C9),((C6+C4)/C8)*EXP(-MOD((204/80*(60/C5)),(60/C5))/(C8*C7))*60,-(((C6+C4)*C7*(1-EXP(-(60/C5*C9)/(C8*C7))))/(C8*C7))*EXP(-(MOD((204/80*(60/C5)),(60/C5))-(60/C5*C9))/(C8*C7))*60)</f>
        <v/>
      </c>
      <c r="E233" s="26">
        <f>(IF(MOD((204/80*(60/C5)),(60/C5))&lt;(60/C5*C9),(C6+C4)*C7*(1-EXP(-MOD((204/80*(60/C5)),(60/C5))/(C8*C7))),((C6+C4)*C7*(1-EXP(-(60/C5*C9)/(C8*C7))))*EXP(-(MOD((204/80*(60/C5)),(60/C5))-(60/C5*C9))/(C8*C7))))*1000</f>
        <v/>
      </c>
      <c r="F233" s="25">
        <f>IF(AND(MOD((204/80*(60/C5)),(60/C5))&lt;(60/C5*C9),MOD((204/80*(60/C5)),(60/C5))&lt;C12),-ABS(C11)*SIN(PI()*MOD((204/80*(60/C5)),(60/C5))/C12),0)</f>
        <v/>
      </c>
      <c r="G233" s="25">
        <f>C6*(C10/(C7+C10))+(E233/1000)/C10+F233</f>
        <v/>
      </c>
      <c r="H233" s="25">
        <f>C233-G233</f>
        <v/>
      </c>
      <c r="I233" s="25">
        <f>C6+(E233/1000)/C7</f>
        <v/>
      </c>
    </row>
    <row r="234" ht="12.95" customHeight="1" s="44">
      <c r="B234" s="27">
        <f>(205/80*(60/C5))</f>
        <v/>
      </c>
      <c r="C234" s="27">
        <f>IF(MOD((205/80*(60/C5)),(60/C5))&lt;(60/C5*C9),C6+C4,C6)</f>
        <v/>
      </c>
      <c r="D234" s="27">
        <f>IF(MOD((205/80*(60/C5)),(60/C5))&lt;(60/C5*C9),((C6+C4)/C8)*EXP(-MOD((205/80*(60/C5)),(60/C5))/(C8*C7))*60,-(((C6+C4)*C7*(1-EXP(-(60/C5*C9)/(C8*C7))))/(C8*C7))*EXP(-(MOD((205/80*(60/C5)),(60/C5))-(60/C5*C9))/(C8*C7))*60)</f>
        <v/>
      </c>
      <c r="E234" s="28">
        <f>(IF(MOD((205/80*(60/C5)),(60/C5))&lt;(60/C5*C9),(C6+C4)*C7*(1-EXP(-MOD((205/80*(60/C5)),(60/C5))/(C8*C7))),((C6+C4)*C7*(1-EXP(-(60/C5*C9)/(C8*C7))))*EXP(-(MOD((205/80*(60/C5)),(60/C5))-(60/C5*C9))/(C8*C7))))*1000</f>
        <v/>
      </c>
      <c r="F234" s="27">
        <f>IF(AND(MOD((205/80*(60/C5)),(60/C5))&lt;(60/C5*C9),MOD((205/80*(60/C5)),(60/C5))&lt;C12),-ABS(C11)*SIN(PI()*MOD((205/80*(60/C5)),(60/C5))/C12),0)</f>
        <v/>
      </c>
      <c r="G234" s="27">
        <f>C6*(C10/(C7+C10))+(E234/1000)/C10+F234</f>
        <v/>
      </c>
      <c r="H234" s="27">
        <f>C234-G234</f>
        <v/>
      </c>
      <c r="I234" s="27">
        <f>C6+(E234/1000)/C7</f>
        <v/>
      </c>
    </row>
    <row r="235" ht="12.95" customHeight="1" s="44">
      <c r="B235" s="25">
        <f>(206/80*(60/C5))</f>
        <v/>
      </c>
      <c r="C235" s="25">
        <f>IF(MOD((206/80*(60/C5)),(60/C5))&lt;(60/C5*C9),C6+C4,C6)</f>
        <v/>
      </c>
      <c r="D235" s="25">
        <f>IF(MOD((206/80*(60/C5)),(60/C5))&lt;(60/C5*C9),((C6+C4)/C8)*EXP(-MOD((206/80*(60/C5)),(60/C5))/(C8*C7))*60,-(((C6+C4)*C7*(1-EXP(-(60/C5*C9)/(C8*C7))))/(C8*C7))*EXP(-(MOD((206/80*(60/C5)),(60/C5))-(60/C5*C9))/(C8*C7))*60)</f>
        <v/>
      </c>
      <c r="E235" s="26">
        <f>(IF(MOD((206/80*(60/C5)),(60/C5))&lt;(60/C5*C9),(C6+C4)*C7*(1-EXP(-MOD((206/80*(60/C5)),(60/C5))/(C8*C7))),((C6+C4)*C7*(1-EXP(-(60/C5*C9)/(C8*C7))))*EXP(-(MOD((206/80*(60/C5)),(60/C5))-(60/C5*C9))/(C8*C7))))*1000</f>
        <v/>
      </c>
      <c r="F235" s="25">
        <f>IF(AND(MOD((206/80*(60/C5)),(60/C5))&lt;(60/C5*C9),MOD((206/80*(60/C5)),(60/C5))&lt;C12),-ABS(C11)*SIN(PI()*MOD((206/80*(60/C5)),(60/C5))/C12),0)</f>
        <v/>
      </c>
      <c r="G235" s="25">
        <f>C6*(C10/(C7+C10))+(E235/1000)/C10+F235</f>
        <v/>
      </c>
      <c r="H235" s="25">
        <f>C235-G235</f>
        <v/>
      </c>
      <c r="I235" s="25">
        <f>C6+(E235/1000)/C7</f>
        <v/>
      </c>
    </row>
    <row r="236" ht="12.95" customHeight="1" s="44">
      <c r="B236" s="27">
        <f>(207/80*(60/C5))</f>
        <v/>
      </c>
      <c r="C236" s="27">
        <f>IF(MOD((207/80*(60/C5)),(60/C5))&lt;(60/C5*C9),C6+C4,C6)</f>
        <v/>
      </c>
      <c r="D236" s="27">
        <f>IF(MOD((207/80*(60/C5)),(60/C5))&lt;(60/C5*C9),((C6+C4)/C8)*EXP(-MOD((207/80*(60/C5)),(60/C5))/(C8*C7))*60,-(((C6+C4)*C7*(1-EXP(-(60/C5*C9)/(C8*C7))))/(C8*C7))*EXP(-(MOD((207/80*(60/C5)),(60/C5))-(60/C5*C9))/(C8*C7))*60)</f>
        <v/>
      </c>
      <c r="E236" s="28">
        <f>(IF(MOD((207/80*(60/C5)),(60/C5))&lt;(60/C5*C9),(C6+C4)*C7*(1-EXP(-MOD((207/80*(60/C5)),(60/C5))/(C8*C7))),((C6+C4)*C7*(1-EXP(-(60/C5*C9)/(C8*C7))))*EXP(-(MOD((207/80*(60/C5)),(60/C5))-(60/C5*C9))/(C8*C7))))*1000</f>
        <v/>
      </c>
      <c r="F236" s="27">
        <f>IF(AND(MOD((207/80*(60/C5)),(60/C5))&lt;(60/C5*C9),MOD((207/80*(60/C5)),(60/C5))&lt;C12),-ABS(C11)*SIN(PI()*MOD((207/80*(60/C5)),(60/C5))/C12),0)</f>
        <v/>
      </c>
      <c r="G236" s="27">
        <f>C6*(C10/(C7+C10))+(E236/1000)/C10+F236</f>
        <v/>
      </c>
      <c r="H236" s="27">
        <f>C236-G236</f>
        <v/>
      </c>
      <c r="I236" s="27">
        <f>C6+(E236/1000)/C7</f>
        <v/>
      </c>
    </row>
    <row r="237" ht="12.95" customHeight="1" s="44">
      <c r="B237" s="25">
        <f>(208/80*(60/C5))</f>
        <v/>
      </c>
      <c r="C237" s="25">
        <f>IF(MOD((208/80*(60/C5)),(60/C5))&lt;(60/C5*C9),C6+C4,C6)</f>
        <v/>
      </c>
      <c r="D237" s="25">
        <f>IF(MOD((208/80*(60/C5)),(60/C5))&lt;(60/C5*C9),((C6+C4)/C8)*EXP(-MOD((208/80*(60/C5)),(60/C5))/(C8*C7))*60,-(((C6+C4)*C7*(1-EXP(-(60/C5*C9)/(C8*C7))))/(C8*C7))*EXP(-(MOD((208/80*(60/C5)),(60/C5))-(60/C5*C9))/(C8*C7))*60)</f>
        <v/>
      </c>
      <c r="E237" s="26">
        <f>(IF(MOD((208/80*(60/C5)),(60/C5))&lt;(60/C5*C9),(C6+C4)*C7*(1-EXP(-MOD((208/80*(60/C5)),(60/C5))/(C8*C7))),((C6+C4)*C7*(1-EXP(-(60/C5*C9)/(C8*C7))))*EXP(-(MOD((208/80*(60/C5)),(60/C5))-(60/C5*C9))/(C8*C7))))*1000</f>
        <v/>
      </c>
      <c r="F237" s="25">
        <f>IF(AND(MOD((208/80*(60/C5)),(60/C5))&lt;(60/C5*C9),MOD((208/80*(60/C5)),(60/C5))&lt;C12),-ABS(C11)*SIN(PI()*MOD((208/80*(60/C5)),(60/C5))/C12),0)</f>
        <v/>
      </c>
      <c r="G237" s="25">
        <f>C6*(C10/(C7+C10))+(E237/1000)/C10+F237</f>
        <v/>
      </c>
      <c r="H237" s="25">
        <f>C237-G237</f>
        <v/>
      </c>
      <c r="I237" s="25">
        <f>C6+(E237/1000)/C7</f>
        <v/>
      </c>
    </row>
    <row r="238" ht="12.95" customHeight="1" s="44">
      <c r="B238" s="27">
        <f>(209/80*(60/C5))</f>
        <v/>
      </c>
      <c r="C238" s="27">
        <f>IF(MOD((209/80*(60/C5)),(60/C5))&lt;(60/C5*C9),C6+C4,C6)</f>
        <v/>
      </c>
      <c r="D238" s="27">
        <f>IF(MOD((209/80*(60/C5)),(60/C5))&lt;(60/C5*C9),((C6+C4)/C8)*EXP(-MOD((209/80*(60/C5)),(60/C5))/(C8*C7))*60,-(((C6+C4)*C7*(1-EXP(-(60/C5*C9)/(C8*C7))))/(C8*C7))*EXP(-(MOD((209/80*(60/C5)),(60/C5))-(60/C5*C9))/(C8*C7))*60)</f>
        <v/>
      </c>
      <c r="E238" s="28">
        <f>(IF(MOD((209/80*(60/C5)),(60/C5))&lt;(60/C5*C9),(C6+C4)*C7*(1-EXP(-MOD((209/80*(60/C5)),(60/C5))/(C8*C7))),((C6+C4)*C7*(1-EXP(-(60/C5*C9)/(C8*C7))))*EXP(-(MOD((209/80*(60/C5)),(60/C5))-(60/C5*C9))/(C8*C7))))*1000</f>
        <v/>
      </c>
      <c r="F238" s="27">
        <f>IF(AND(MOD((209/80*(60/C5)),(60/C5))&lt;(60/C5*C9),MOD((209/80*(60/C5)),(60/C5))&lt;C12),-ABS(C11)*SIN(PI()*MOD((209/80*(60/C5)),(60/C5))/C12),0)</f>
        <v/>
      </c>
      <c r="G238" s="27">
        <f>C6*(C10/(C7+C10))+(E238/1000)/C10+F238</f>
        <v/>
      </c>
      <c r="H238" s="27">
        <f>C238-G238</f>
        <v/>
      </c>
      <c r="I238" s="27">
        <f>C6+(E238/1000)/C7</f>
        <v/>
      </c>
    </row>
    <row r="239" ht="12.95" customHeight="1" s="44">
      <c r="B239" s="25">
        <f>(210/80*(60/C5))</f>
        <v/>
      </c>
      <c r="C239" s="25">
        <f>IF(MOD((210/80*(60/C5)),(60/C5))&lt;(60/C5*C9),C6+C4,C6)</f>
        <v/>
      </c>
      <c r="D239" s="25">
        <f>IF(MOD((210/80*(60/C5)),(60/C5))&lt;(60/C5*C9),((C6+C4)/C8)*EXP(-MOD((210/80*(60/C5)),(60/C5))/(C8*C7))*60,-(((C6+C4)*C7*(1-EXP(-(60/C5*C9)/(C8*C7))))/(C8*C7))*EXP(-(MOD((210/80*(60/C5)),(60/C5))-(60/C5*C9))/(C8*C7))*60)</f>
        <v/>
      </c>
      <c r="E239" s="26">
        <f>(IF(MOD((210/80*(60/C5)),(60/C5))&lt;(60/C5*C9),(C6+C4)*C7*(1-EXP(-MOD((210/80*(60/C5)),(60/C5))/(C8*C7))),((C6+C4)*C7*(1-EXP(-(60/C5*C9)/(C8*C7))))*EXP(-(MOD((210/80*(60/C5)),(60/C5))-(60/C5*C9))/(C8*C7))))*1000</f>
        <v/>
      </c>
      <c r="F239" s="25">
        <f>IF(AND(MOD((210/80*(60/C5)),(60/C5))&lt;(60/C5*C9),MOD((210/80*(60/C5)),(60/C5))&lt;C12),-ABS(C11)*SIN(PI()*MOD((210/80*(60/C5)),(60/C5))/C12),0)</f>
        <v/>
      </c>
      <c r="G239" s="25">
        <f>C6*(C10/(C7+C10))+(E239/1000)/C10+F239</f>
        <v/>
      </c>
      <c r="H239" s="25">
        <f>C239-G239</f>
        <v/>
      </c>
      <c r="I239" s="25">
        <f>C6+(E239/1000)/C7</f>
        <v/>
      </c>
    </row>
    <row r="240" ht="12.95" customHeight="1" s="44">
      <c r="B240" s="27">
        <f>(211/80*(60/C5))</f>
        <v/>
      </c>
      <c r="C240" s="27">
        <f>IF(MOD((211/80*(60/C5)),(60/C5))&lt;(60/C5*C9),C6+C4,C6)</f>
        <v/>
      </c>
      <c r="D240" s="27">
        <f>IF(MOD((211/80*(60/C5)),(60/C5))&lt;(60/C5*C9),((C6+C4)/C8)*EXP(-MOD((211/80*(60/C5)),(60/C5))/(C8*C7))*60,-(((C6+C4)*C7*(1-EXP(-(60/C5*C9)/(C8*C7))))/(C8*C7))*EXP(-(MOD((211/80*(60/C5)),(60/C5))-(60/C5*C9))/(C8*C7))*60)</f>
        <v/>
      </c>
      <c r="E240" s="28">
        <f>(IF(MOD((211/80*(60/C5)),(60/C5))&lt;(60/C5*C9),(C6+C4)*C7*(1-EXP(-MOD((211/80*(60/C5)),(60/C5))/(C8*C7))),((C6+C4)*C7*(1-EXP(-(60/C5*C9)/(C8*C7))))*EXP(-(MOD((211/80*(60/C5)),(60/C5))-(60/C5*C9))/(C8*C7))))*1000</f>
        <v/>
      </c>
      <c r="F240" s="27">
        <f>IF(AND(MOD((211/80*(60/C5)),(60/C5))&lt;(60/C5*C9),MOD((211/80*(60/C5)),(60/C5))&lt;C12),-ABS(C11)*SIN(PI()*MOD((211/80*(60/C5)),(60/C5))/C12),0)</f>
        <v/>
      </c>
      <c r="G240" s="27">
        <f>C6*(C10/(C7+C10))+(E240/1000)/C10+F240</f>
        <v/>
      </c>
      <c r="H240" s="27">
        <f>C240-G240</f>
        <v/>
      </c>
      <c r="I240" s="27">
        <f>C6+(E240/1000)/C7</f>
        <v/>
      </c>
    </row>
    <row r="241" ht="12.95" customHeight="1" s="44">
      <c r="B241" s="25">
        <f>(212/80*(60/C5))</f>
        <v/>
      </c>
      <c r="C241" s="25">
        <f>IF(MOD((212/80*(60/C5)),(60/C5))&lt;(60/C5*C9),C6+C4,C6)</f>
        <v/>
      </c>
      <c r="D241" s="25">
        <f>IF(MOD((212/80*(60/C5)),(60/C5))&lt;(60/C5*C9),((C6+C4)/C8)*EXP(-MOD((212/80*(60/C5)),(60/C5))/(C8*C7))*60,-(((C6+C4)*C7*(1-EXP(-(60/C5*C9)/(C8*C7))))/(C8*C7))*EXP(-(MOD((212/80*(60/C5)),(60/C5))-(60/C5*C9))/(C8*C7))*60)</f>
        <v/>
      </c>
      <c r="E241" s="26">
        <f>(IF(MOD((212/80*(60/C5)),(60/C5))&lt;(60/C5*C9),(C6+C4)*C7*(1-EXP(-MOD((212/80*(60/C5)),(60/C5))/(C8*C7))),((C6+C4)*C7*(1-EXP(-(60/C5*C9)/(C8*C7))))*EXP(-(MOD((212/80*(60/C5)),(60/C5))-(60/C5*C9))/(C8*C7))))*1000</f>
        <v/>
      </c>
      <c r="F241" s="25">
        <f>IF(AND(MOD((212/80*(60/C5)),(60/C5))&lt;(60/C5*C9),MOD((212/80*(60/C5)),(60/C5))&lt;C12),-ABS(C11)*SIN(PI()*MOD((212/80*(60/C5)),(60/C5))/C12),0)</f>
        <v/>
      </c>
      <c r="G241" s="25">
        <f>C6*(C10/(C7+C10))+(E241/1000)/C10+F241</f>
        <v/>
      </c>
      <c r="H241" s="25">
        <f>C241-G241</f>
        <v/>
      </c>
      <c r="I241" s="25">
        <f>C6+(E241/1000)/C7</f>
        <v/>
      </c>
    </row>
    <row r="242" ht="12.95" customHeight="1" s="44">
      <c r="B242" s="27">
        <f>(213/80*(60/C5))</f>
        <v/>
      </c>
      <c r="C242" s="27">
        <f>IF(MOD((213/80*(60/C5)),(60/C5))&lt;(60/C5*C9),C6+C4,C6)</f>
        <v/>
      </c>
      <c r="D242" s="27">
        <f>IF(MOD((213/80*(60/C5)),(60/C5))&lt;(60/C5*C9),((C6+C4)/C8)*EXP(-MOD((213/80*(60/C5)),(60/C5))/(C8*C7))*60,-(((C6+C4)*C7*(1-EXP(-(60/C5*C9)/(C8*C7))))/(C8*C7))*EXP(-(MOD((213/80*(60/C5)),(60/C5))-(60/C5*C9))/(C8*C7))*60)</f>
        <v/>
      </c>
      <c r="E242" s="28">
        <f>(IF(MOD((213/80*(60/C5)),(60/C5))&lt;(60/C5*C9),(C6+C4)*C7*(1-EXP(-MOD((213/80*(60/C5)),(60/C5))/(C8*C7))),((C6+C4)*C7*(1-EXP(-(60/C5*C9)/(C8*C7))))*EXP(-(MOD((213/80*(60/C5)),(60/C5))-(60/C5*C9))/(C8*C7))))*1000</f>
        <v/>
      </c>
      <c r="F242" s="27">
        <f>IF(AND(MOD((213/80*(60/C5)),(60/C5))&lt;(60/C5*C9),MOD((213/80*(60/C5)),(60/C5))&lt;C12),-ABS(C11)*SIN(PI()*MOD((213/80*(60/C5)),(60/C5))/C12),0)</f>
        <v/>
      </c>
      <c r="G242" s="27">
        <f>C6*(C10/(C7+C10))+(E242/1000)/C10+F242</f>
        <v/>
      </c>
      <c r="H242" s="27">
        <f>C242-G242</f>
        <v/>
      </c>
      <c r="I242" s="27">
        <f>C6+(E242/1000)/C7</f>
        <v/>
      </c>
    </row>
    <row r="243" ht="12.95" customHeight="1" s="44">
      <c r="B243" s="25">
        <f>(214/80*(60/C5))</f>
        <v/>
      </c>
      <c r="C243" s="25">
        <f>IF(MOD((214/80*(60/C5)),(60/C5))&lt;(60/C5*C9),C6+C4,C6)</f>
        <v/>
      </c>
      <c r="D243" s="25">
        <f>IF(MOD((214/80*(60/C5)),(60/C5))&lt;(60/C5*C9),((C6+C4)/C8)*EXP(-MOD((214/80*(60/C5)),(60/C5))/(C8*C7))*60,-(((C6+C4)*C7*(1-EXP(-(60/C5*C9)/(C8*C7))))/(C8*C7))*EXP(-(MOD((214/80*(60/C5)),(60/C5))-(60/C5*C9))/(C8*C7))*60)</f>
        <v/>
      </c>
      <c r="E243" s="26">
        <f>(IF(MOD((214/80*(60/C5)),(60/C5))&lt;(60/C5*C9),(C6+C4)*C7*(1-EXP(-MOD((214/80*(60/C5)),(60/C5))/(C8*C7))),((C6+C4)*C7*(1-EXP(-(60/C5*C9)/(C8*C7))))*EXP(-(MOD((214/80*(60/C5)),(60/C5))-(60/C5*C9))/(C8*C7))))*1000</f>
        <v/>
      </c>
      <c r="F243" s="25">
        <f>IF(AND(MOD((214/80*(60/C5)),(60/C5))&lt;(60/C5*C9),MOD((214/80*(60/C5)),(60/C5))&lt;C12),-ABS(C11)*SIN(PI()*MOD((214/80*(60/C5)),(60/C5))/C12),0)</f>
        <v/>
      </c>
      <c r="G243" s="25">
        <f>C6*(C10/(C7+C10))+(E243/1000)/C10+F243</f>
        <v/>
      </c>
      <c r="H243" s="25">
        <f>C243-G243</f>
        <v/>
      </c>
      <c r="I243" s="25">
        <f>C6+(E243/1000)/C7</f>
        <v/>
      </c>
    </row>
    <row r="244" ht="12.95" customHeight="1" s="44">
      <c r="B244" s="27">
        <f>(215/80*(60/C5))</f>
        <v/>
      </c>
      <c r="C244" s="27">
        <f>IF(MOD((215/80*(60/C5)),(60/C5))&lt;(60/C5*C9),C6+C4,C6)</f>
        <v/>
      </c>
      <c r="D244" s="27">
        <f>IF(MOD((215/80*(60/C5)),(60/C5))&lt;(60/C5*C9),((C6+C4)/C8)*EXP(-MOD((215/80*(60/C5)),(60/C5))/(C8*C7))*60,-(((C6+C4)*C7*(1-EXP(-(60/C5*C9)/(C8*C7))))/(C8*C7))*EXP(-(MOD((215/80*(60/C5)),(60/C5))-(60/C5*C9))/(C8*C7))*60)</f>
        <v/>
      </c>
      <c r="E244" s="28">
        <f>(IF(MOD((215/80*(60/C5)),(60/C5))&lt;(60/C5*C9),(C6+C4)*C7*(1-EXP(-MOD((215/80*(60/C5)),(60/C5))/(C8*C7))),((C6+C4)*C7*(1-EXP(-(60/C5*C9)/(C8*C7))))*EXP(-(MOD((215/80*(60/C5)),(60/C5))-(60/C5*C9))/(C8*C7))))*1000</f>
        <v/>
      </c>
      <c r="F244" s="27">
        <f>IF(AND(MOD((215/80*(60/C5)),(60/C5))&lt;(60/C5*C9),MOD((215/80*(60/C5)),(60/C5))&lt;C12),-ABS(C11)*SIN(PI()*MOD((215/80*(60/C5)),(60/C5))/C12),0)</f>
        <v/>
      </c>
      <c r="G244" s="27">
        <f>C6*(C10/(C7+C10))+(E244/1000)/C10+F244</f>
        <v/>
      </c>
      <c r="H244" s="27">
        <f>C244-G244</f>
        <v/>
      </c>
      <c r="I244" s="27">
        <f>C6+(E244/1000)/C7</f>
        <v/>
      </c>
    </row>
    <row r="245" ht="12.95" customHeight="1" s="44">
      <c r="B245" s="25">
        <f>(216/80*(60/C5))</f>
        <v/>
      </c>
      <c r="C245" s="25">
        <f>IF(MOD((216/80*(60/C5)),(60/C5))&lt;(60/C5*C9),C6+C4,C6)</f>
        <v/>
      </c>
      <c r="D245" s="25">
        <f>IF(MOD((216/80*(60/C5)),(60/C5))&lt;(60/C5*C9),((C6+C4)/C8)*EXP(-MOD((216/80*(60/C5)),(60/C5))/(C8*C7))*60,-(((C6+C4)*C7*(1-EXP(-(60/C5*C9)/(C8*C7))))/(C8*C7))*EXP(-(MOD((216/80*(60/C5)),(60/C5))-(60/C5*C9))/(C8*C7))*60)</f>
        <v/>
      </c>
      <c r="E245" s="26">
        <f>(IF(MOD((216/80*(60/C5)),(60/C5))&lt;(60/C5*C9),(C6+C4)*C7*(1-EXP(-MOD((216/80*(60/C5)),(60/C5))/(C8*C7))),((C6+C4)*C7*(1-EXP(-(60/C5*C9)/(C8*C7))))*EXP(-(MOD((216/80*(60/C5)),(60/C5))-(60/C5*C9))/(C8*C7))))*1000</f>
        <v/>
      </c>
      <c r="F245" s="25">
        <f>IF(AND(MOD((216/80*(60/C5)),(60/C5))&lt;(60/C5*C9),MOD((216/80*(60/C5)),(60/C5))&lt;C12),-ABS(C11)*SIN(PI()*MOD((216/80*(60/C5)),(60/C5))/C12),0)</f>
        <v/>
      </c>
      <c r="G245" s="25">
        <f>C6*(C10/(C7+C10))+(E245/1000)/C10+F245</f>
        <v/>
      </c>
      <c r="H245" s="25">
        <f>C245-G245</f>
        <v/>
      </c>
      <c r="I245" s="25">
        <f>C6+(E245/1000)/C7</f>
        <v/>
      </c>
    </row>
    <row r="246" ht="12.95" customHeight="1" s="44">
      <c r="B246" s="27">
        <f>(217/80*(60/C5))</f>
        <v/>
      </c>
      <c r="C246" s="27">
        <f>IF(MOD((217/80*(60/C5)),(60/C5))&lt;(60/C5*C9),C6+C4,C6)</f>
        <v/>
      </c>
      <c r="D246" s="27">
        <f>IF(MOD((217/80*(60/C5)),(60/C5))&lt;(60/C5*C9),((C6+C4)/C8)*EXP(-MOD((217/80*(60/C5)),(60/C5))/(C8*C7))*60,-(((C6+C4)*C7*(1-EXP(-(60/C5*C9)/(C8*C7))))/(C8*C7))*EXP(-(MOD((217/80*(60/C5)),(60/C5))-(60/C5*C9))/(C8*C7))*60)</f>
        <v/>
      </c>
      <c r="E246" s="28">
        <f>(IF(MOD((217/80*(60/C5)),(60/C5))&lt;(60/C5*C9),(C6+C4)*C7*(1-EXP(-MOD((217/80*(60/C5)),(60/C5))/(C8*C7))),((C6+C4)*C7*(1-EXP(-(60/C5*C9)/(C8*C7))))*EXP(-(MOD((217/80*(60/C5)),(60/C5))-(60/C5*C9))/(C8*C7))))*1000</f>
        <v/>
      </c>
      <c r="F246" s="27">
        <f>IF(AND(MOD((217/80*(60/C5)),(60/C5))&lt;(60/C5*C9),MOD((217/80*(60/C5)),(60/C5))&lt;C12),-ABS(C11)*SIN(PI()*MOD((217/80*(60/C5)),(60/C5))/C12),0)</f>
        <v/>
      </c>
      <c r="G246" s="27">
        <f>C6*(C10/(C7+C10))+(E246/1000)/C10+F246</f>
        <v/>
      </c>
      <c r="H246" s="27">
        <f>C246-G246</f>
        <v/>
      </c>
      <c r="I246" s="27">
        <f>C6+(E246/1000)/C7</f>
        <v/>
      </c>
    </row>
    <row r="247" ht="12.95" customHeight="1" s="44">
      <c r="B247" s="25">
        <f>(218/80*(60/C5))</f>
        <v/>
      </c>
      <c r="C247" s="25">
        <f>IF(MOD((218/80*(60/C5)),(60/C5))&lt;(60/C5*C9),C6+C4,C6)</f>
        <v/>
      </c>
      <c r="D247" s="25">
        <f>IF(MOD((218/80*(60/C5)),(60/C5))&lt;(60/C5*C9),((C6+C4)/C8)*EXP(-MOD((218/80*(60/C5)),(60/C5))/(C8*C7))*60,-(((C6+C4)*C7*(1-EXP(-(60/C5*C9)/(C8*C7))))/(C8*C7))*EXP(-(MOD((218/80*(60/C5)),(60/C5))-(60/C5*C9))/(C8*C7))*60)</f>
        <v/>
      </c>
      <c r="E247" s="26">
        <f>(IF(MOD((218/80*(60/C5)),(60/C5))&lt;(60/C5*C9),(C6+C4)*C7*(1-EXP(-MOD((218/80*(60/C5)),(60/C5))/(C8*C7))),((C6+C4)*C7*(1-EXP(-(60/C5*C9)/(C8*C7))))*EXP(-(MOD((218/80*(60/C5)),(60/C5))-(60/C5*C9))/(C8*C7))))*1000</f>
        <v/>
      </c>
      <c r="F247" s="25">
        <f>IF(AND(MOD((218/80*(60/C5)),(60/C5))&lt;(60/C5*C9),MOD((218/80*(60/C5)),(60/C5))&lt;C12),-ABS(C11)*SIN(PI()*MOD((218/80*(60/C5)),(60/C5))/C12),0)</f>
        <v/>
      </c>
      <c r="G247" s="25">
        <f>C6*(C10/(C7+C10))+(E247/1000)/C10+F247</f>
        <v/>
      </c>
      <c r="H247" s="25">
        <f>C247-G247</f>
        <v/>
      </c>
      <c r="I247" s="25">
        <f>C6+(E247/1000)/C7</f>
        <v/>
      </c>
    </row>
    <row r="248" ht="12.95" customHeight="1" s="44">
      <c r="B248" s="27">
        <f>(219/80*(60/C5))</f>
        <v/>
      </c>
      <c r="C248" s="27">
        <f>IF(MOD((219/80*(60/C5)),(60/C5))&lt;(60/C5*C9),C6+C4,C6)</f>
        <v/>
      </c>
      <c r="D248" s="27">
        <f>IF(MOD((219/80*(60/C5)),(60/C5))&lt;(60/C5*C9),((C6+C4)/C8)*EXP(-MOD((219/80*(60/C5)),(60/C5))/(C8*C7))*60,-(((C6+C4)*C7*(1-EXP(-(60/C5*C9)/(C8*C7))))/(C8*C7))*EXP(-(MOD((219/80*(60/C5)),(60/C5))-(60/C5*C9))/(C8*C7))*60)</f>
        <v/>
      </c>
      <c r="E248" s="28">
        <f>(IF(MOD((219/80*(60/C5)),(60/C5))&lt;(60/C5*C9),(C6+C4)*C7*(1-EXP(-MOD((219/80*(60/C5)),(60/C5))/(C8*C7))),((C6+C4)*C7*(1-EXP(-(60/C5*C9)/(C8*C7))))*EXP(-(MOD((219/80*(60/C5)),(60/C5))-(60/C5*C9))/(C8*C7))))*1000</f>
        <v/>
      </c>
      <c r="F248" s="27">
        <f>IF(AND(MOD((219/80*(60/C5)),(60/C5))&lt;(60/C5*C9),MOD((219/80*(60/C5)),(60/C5))&lt;C12),-ABS(C11)*SIN(PI()*MOD((219/80*(60/C5)),(60/C5))/C12),0)</f>
        <v/>
      </c>
      <c r="G248" s="27">
        <f>C6*(C10/(C7+C10))+(E248/1000)/C10+F248</f>
        <v/>
      </c>
      <c r="H248" s="27">
        <f>C248-G248</f>
        <v/>
      </c>
      <c r="I248" s="27">
        <f>C6+(E248/1000)/C7</f>
        <v/>
      </c>
    </row>
    <row r="249" ht="12.95" customHeight="1" s="44">
      <c r="B249" s="25">
        <f>(220/80*(60/C5))</f>
        <v/>
      </c>
      <c r="C249" s="25">
        <f>IF(MOD((220/80*(60/C5)),(60/C5))&lt;(60/C5*C9),C6+C4,C6)</f>
        <v/>
      </c>
      <c r="D249" s="25">
        <f>IF(MOD((220/80*(60/C5)),(60/C5))&lt;(60/C5*C9),((C6+C4)/C8)*EXP(-MOD((220/80*(60/C5)),(60/C5))/(C8*C7))*60,-(((C6+C4)*C7*(1-EXP(-(60/C5*C9)/(C8*C7))))/(C8*C7))*EXP(-(MOD((220/80*(60/C5)),(60/C5))-(60/C5*C9))/(C8*C7))*60)</f>
        <v/>
      </c>
      <c r="E249" s="26">
        <f>(IF(MOD((220/80*(60/C5)),(60/C5))&lt;(60/C5*C9),(C6+C4)*C7*(1-EXP(-MOD((220/80*(60/C5)),(60/C5))/(C8*C7))),((C6+C4)*C7*(1-EXP(-(60/C5*C9)/(C8*C7))))*EXP(-(MOD((220/80*(60/C5)),(60/C5))-(60/C5*C9))/(C8*C7))))*1000</f>
        <v/>
      </c>
      <c r="F249" s="25">
        <f>IF(AND(MOD((220/80*(60/C5)),(60/C5))&lt;(60/C5*C9),MOD((220/80*(60/C5)),(60/C5))&lt;C12),-ABS(C11)*SIN(PI()*MOD((220/80*(60/C5)),(60/C5))/C12),0)</f>
        <v/>
      </c>
      <c r="G249" s="25">
        <f>C6*(C10/(C7+C10))+(E249/1000)/C10+F249</f>
        <v/>
      </c>
      <c r="H249" s="25">
        <f>C249-G249</f>
        <v/>
      </c>
      <c r="I249" s="25">
        <f>C6+(E249/1000)/C7</f>
        <v/>
      </c>
    </row>
    <row r="250" ht="12.95" customHeight="1" s="44">
      <c r="B250" s="27">
        <f>(221/80*(60/C5))</f>
        <v/>
      </c>
      <c r="C250" s="27">
        <f>IF(MOD((221/80*(60/C5)),(60/C5))&lt;(60/C5*C9),C6+C4,C6)</f>
        <v/>
      </c>
      <c r="D250" s="27">
        <f>IF(MOD((221/80*(60/C5)),(60/C5))&lt;(60/C5*C9),((C6+C4)/C8)*EXP(-MOD((221/80*(60/C5)),(60/C5))/(C8*C7))*60,-(((C6+C4)*C7*(1-EXP(-(60/C5*C9)/(C8*C7))))/(C8*C7))*EXP(-(MOD((221/80*(60/C5)),(60/C5))-(60/C5*C9))/(C8*C7))*60)</f>
        <v/>
      </c>
      <c r="E250" s="28">
        <f>(IF(MOD((221/80*(60/C5)),(60/C5))&lt;(60/C5*C9),(C6+C4)*C7*(1-EXP(-MOD((221/80*(60/C5)),(60/C5))/(C8*C7))),((C6+C4)*C7*(1-EXP(-(60/C5*C9)/(C8*C7))))*EXP(-(MOD((221/80*(60/C5)),(60/C5))-(60/C5*C9))/(C8*C7))))*1000</f>
        <v/>
      </c>
      <c r="F250" s="27">
        <f>IF(AND(MOD((221/80*(60/C5)),(60/C5))&lt;(60/C5*C9),MOD((221/80*(60/C5)),(60/C5))&lt;C12),-ABS(C11)*SIN(PI()*MOD((221/80*(60/C5)),(60/C5))/C12),0)</f>
        <v/>
      </c>
      <c r="G250" s="27">
        <f>C6*(C10/(C7+C10))+(E250/1000)/C10+F250</f>
        <v/>
      </c>
      <c r="H250" s="27">
        <f>C250-G250</f>
        <v/>
      </c>
      <c r="I250" s="27">
        <f>C6+(E250/1000)/C7</f>
        <v/>
      </c>
    </row>
    <row r="251" ht="12.95" customHeight="1" s="44">
      <c r="B251" s="25">
        <f>(222/80*(60/C5))</f>
        <v/>
      </c>
      <c r="C251" s="25">
        <f>IF(MOD((222/80*(60/C5)),(60/C5))&lt;(60/C5*C9),C6+C4,C6)</f>
        <v/>
      </c>
      <c r="D251" s="25">
        <f>IF(MOD((222/80*(60/C5)),(60/C5))&lt;(60/C5*C9),((C6+C4)/C8)*EXP(-MOD((222/80*(60/C5)),(60/C5))/(C8*C7))*60,-(((C6+C4)*C7*(1-EXP(-(60/C5*C9)/(C8*C7))))/(C8*C7))*EXP(-(MOD((222/80*(60/C5)),(60/C5))-(60/C5*C9))/(C8*C7))*60)</f>
        <v/>
      </c>
      <c r="E251" s="26">
        <f>(IF(MOD((222/80*(60/C5)),(60/C5))&lt;(60/C5*C9),(C6+C4)*C7*(1-EXP(-MOD((222/80*(60/C5)),(60/C5))/(C8*C7))),((C6+C4)*C7*(1-EXP(-(60/C5*C9)/(C8*C7))))*EXP(-(MOD((222/80*(60/C5)),(60/C5))-(60/C5*C9))/(C8*C7))))*1000</f>
        <v/>
      </c>
      <c r="F251" s="25">
        <f>IF(AND(MOD((222/80*(60/C5)),(60/C5))&lt;(60/C5*C9),MOD((222/80*(60/C5)),(60/C5))&lt;C12),-ABS(C11)*SIN(PI()*MOD((222/80*(60/C5)),(60/C5))/C12),0)</f>
        <v/>
      </c>
      <c r="G251" s="25">
        <f>C6*(C10/(C7+C10))+(E251/1000)/C10+F251</f>
        <v/>
      </c>
      <c r="H251" s="25">
        <f>C251-G251</f>
        <v/>
      </c>
      <c r="I251" s="25">
        <f>C6+(E251/1000)/C7</f>
        <v/>
      </c>
    </row>
    <row r="252" ht="12.95" customHeight="1" s="44">
      <c r="B252" s="27">
        <f>(223/80*(60/C5))</f>
        <v/>
      </c>
      <c r="C252" s="27">
        <f>IF(MOD((223/80*(60/C5)),(60/C5))&lt;(60/C5*C9),C6+C4,C6)</f>
        <v/>
      </c>
      <c r="D252" s="27">
        <f>IF(MOD((223/80*(60/C5)),(60/C5))&lt;(60/C5*C9),((C6+C4)/C8)*EXP(-MOD((223/80*(60/C5)),(60/C5))/(C8*C7))*60,-(((C6+C4)*C7*(1-EXP(-(60/C5*C9)/(C8*C7))))/(C8*C7))*EXP(-(MOD((223/80*(60/C5)),(60/C5))-(60/C5*C9))/(C8*C7))*60)</f>
        <v/>
      </c>
      <c r="E252" s="28">
        <f>(IF(MOD((223/80*(60/C5)),(60/C5))&lt;(60/C5*C9),(C6+C4)*C7*(1-EXP(-MOD((223/80*(60/C5)),(60/C5))/(C8*C7))),((C6+C4)*C7*(1-EXP(-(60/C5*C9)/(C8*C7))))*EXP(-(MOD((223/80*(60/C5)),(60/C5))-(60/C5*C9))/(C8*C7))))*1000</f>
        <v/>
      </c>
      <c r="F252" s="27">
        <f>IF(AND(MOD((223/80*(60/C5)),(60/C5))&lt;(60/C5*C9),MOD((223/80*(60/C5)),(60/C5))&lt;C12),-ABS(C11)*SIN(PI()*MOD((223/80*(60/C5)),(60/C5))/C12),0)</f>
        <v/>
      </c>
      <c r="G252" s="27">
        <f>C6*(C10/(C7+C10))+(E252/1000)/C10+F252</f>
        <v/>
      </c>
      <c r="H252" s="27">
        <f>C252-G252</f>
        <v/>
      </c>
      <c r="I252" s="27">
        <f>C6+(E252/1000)/C7</f>
        <v/>
      </c>
    </row>
    <row r="253" ht="12.95" customHeight="1" s="44">
      <c r="B253" s="25">
        <f>(224/80*(60/C5))</f>
        <v/>
      </c>
      <c r="C253" s="25">
        <f>IF(MOD((224/80*(60/C5)),(60/C5))&lt;(60/C5*C9),C6+C4,C6)</f>
        <v/>
      </c>
      <c r="D253" s="25">
        <f>IF(MOD((224/80*(60/C5)),(60/C5))&lt;(60/C5*C9),((C6+C4)/C8)*EXP(-MOD((224/80*(60/C5)),(60/C5))/(C8*C7))*60,-(((C6+C4)*C7*(1-EXP(-(60/C5*C9)/(C8*C7))))/(C8*C7))*EXP(-(MOD((224/80*(60/C5)),(60/C5))-(60/C5*C9))/(C8*C7))*60)</f>
        <v/>
      </c>
      <c r="E253" s="26">
        <f>(IF(MOD((224/80*(60/C5)),(60/C5))&lt;(60/C5*C9),(C6+C4)*C7*(1-EXP(-MOD((224/80*(60/C5)),(60/C5))/(C8*C7))),((C6+C4)*C7*(1-EXP(-(60/C5*C9)/(C8*C7))))*EXP(-(MOD((224/80*(60/C5)),(60/C5))-(60/C5*C9))/(C8*C7))))*1000</f>
        <v/>
      </c>
      <c r="F253" s="25">
        <f>IF(AND(MOD((224/80*(60/C5)),(60/C5))&lt;(60/C5*C9),MOD((224/80*(60/C5)),(60/C5))&lt;C12),-ABS(C11)*SIN(PI()*MOD((224/80*(60/C5)),(60/C5))/C12),0)</f>
        <v/>
      </c>
      <c r="G253" s="25">
        <f>C6*(C10/(C7+C10))+(E253/1000)/C10+F253</f>
        <v/>
      </c>
      <c r="H253" s="25">
        <f>C253-G253</f>
        <v/>
      </c>
      <c r="I253" s="25">
        <f>C6+(E253/1000)/C7</f>
        <v/>
      </c>
    </row>
    <row r="254" ht="12.95" customHeight="1" s="44">
      <c r="B254" s="27">
        <f>(225/80*(60/C5))</f>
        <v/>
      </c>
      <c r="C254" s="27">
        <f>IF(MOD((225/80*(60/C5)),(60/C5))&lt;(60/C5*C9),C6+C4,C6)</f>
        <v/>
      </c>
      <c r="D254" s="27">
        <f>IF(MOD((225/80*(60/C5)),(60/C5))&lt;(60/C5*C9),((C6+C4)/C8)*EXP(-MOD((225/80*(60/C5)),(60/C5))/(C8*C7))*60,-(((C6+C4)*C7*(1-EXP(-(60/C5*C9)/(C8*C7))))/(C8*C7))*EXP(-(MOD((225/80*(60/C5)),(60/C5))-(60/C5*C9))/(C8*C7))*60)</f>
        <v/>
      </c>
      <c r="E254" s="28">
        <f>(IF(MOD((225/80*(60/C5)),(60/C5))&lt;(60/C5*C9),(C6+C4)*C7*(1-EXP(-MOD((225/80*(60/C5)),(60/C5))/(C8*C7))),((C6+C4)*C7*(1-EXP(-(60/C5*C9)/(C8*C7))))*EXP(-(MOD((225/80*(60/C5)),(60/C5))-(60/C5*C9))/(C8*C7))))*1000</f>
        <v/>
      </c>
      <c r="F254" s="27">
        <f>IF(AND(MOD((225/80*(60/C5)),(60/C5))&lt;(60/C5*C9),MOD((225/80*(60/C5)),(60/C5))&lt;C12),-ABS(C11)*SIN(PI()*MOD((225/80*(60/C5)),(60/C5))/C12),0)</f>
        <v/>
      </c>
      <c r="G254" s="27">
        <f>C6*(C10/(C7+C10))+(E254/1000)/C10+F254</f>
        <v/>
      </c>
      <c r="H254" s="27">
        <f>C254-G254</f>
        <v/>
      </c>
      <c r="I254" s="27">
        <f>C6+(E254/1000)/C7</f>
        <v/>
      </c>
    </row>
    <row r="255" ht="12.95" customHeight="1" s="44">
      <c r="B255" s="25">
        <f>(226/80*(60/C5))</f>
        <v/>
      </c>
      <c r="C255" s="25">
        <f>IF(MOD((226/80*(60/C5)),(60/C5))&lt;(60/C5*C9),C6+C4,C6)</f>
        <v/>
      </c>
      <c r="D255" s="25">
        <f>IF(MOD((226/80*(60/C5)),(60/C5))&lt;(60/C5*C9),((C6+C4)/C8)*EXP(-MOD((226/80*(60/C5)),(60/C5))/(C8*C7))*60,-(((C6+C4)*C7*(1-EXP(-(60/C5*C9)/(C8*C7))))/(C8*C7))*EXP(-(MOD((226/80*(60/C5)),(60/C5))-(60/C5*C9))/(C8*C7))*60)</f>
        <v/>
      </c>
      <c r="E255" s="26">
        <f>(IF(MOD((226/80*(60/C5)),(60/C5))&lt;(60/C5*C9),(C6+C4)*C7*(1-EXP(-MOD((226/80*(60/C5)),(60/C5))/(C8*C7))),((C6+C4)*C7*(1-EXP(-(60/C5*C9)/(C8*C7))))*EXP(-(MOD((226/80*(60/C5)),(60/C5))-(60/C5*C9))/(C8*C7))))*1000</f>
        <v/>
      </c>
      <c r="F255" s="25">
        <f>IF(AND(MOD((226/80*(60/C5)),(60/C5))&lt;(60/C5*C9),MOD((226/80*(60/C5)),(60/C5))&lt;C12),-ABS(C11)*SIN(PI()*MOD((226/80*(60/C5)),(60/C5))/C12),0)</f>
        <v/>
      </c>
      <c r="G255" s="25">
        <f>C6*(C10/(C7+C10))+(E255/1000)/C10+F255</f>
        <v/>
      </c>
      <c r="H255" s="25">
        <f>C255-G255</f>
        <v/>
      </c>
      <c r="I255" s="25">
        <f>C6+(E255/1000)/C7</f>
        <v/>
      </c>
    </row>
    <row r="256" ht="12.95" customHeight="1" s="44">
      <c r="B256" s="27">
        <f>(227/80*(60/C5))</f>
        <v/>
      </c>
      <c r="C256" s="27">
        <f>IF(MOD((227/80*(60/C5)),(60/C5))&lt;(60/C5*C9),C6+C4,C6)</f>
        <v/>
      </c>
      <c r="D256" s="27">
        <f>IF(MOD((227/80*(60/C5)),(60/C5))&lt;(60/C5*C9),((C6+C4)/C8)*EXP(-MOD((227/80*(60/C5)),(60/C5))/(C8*C7))*60,-(((C6+C4)*C7*(1-EXP(-(60/C5*C9)/(C8*C7))))/(C8*C7))*EXP(-(MOD((227/80*(60/C5)),(60/C5))-(60/C5*C9))/(C8*C7))*60)</f>
        <v/>
      </c>
      <c r="E256" s="28">
        <f>(IF(MOD((227/80*(60/C5)),(60/C5))&lt;(60/C5*C9),(C6+C4)*C7*(1-EXP(-MOD((227/80*(60/C5)),(60/C5))/(C8*C7))),((C6+C4)*C7*(1-EXP(-(60/C5*C9)/(C8*C7))))*EXP(-(MOD((227/80*(60/C5)),(60/C5))-(60/C5*C9))/(C8*C7))))*1000</f>
        <v/>
      </c>
      <c r="F256" s="27">
        <f>IF(AND(MOD((227/80*(60/C5)),(60/C5))&lt;(60/C5*C9),MOD((227/80*(60/C5)),(60/C5))&lt;C12),-ABS(C11)*SIN(PI()*MOD((227/80*(60/C5)),(60/C5))/C12),0)</f>
        <v/>
      </c>
      <c r="G256" s="27">
        <f>C6*(C10/(C7+C10))+(E256/1000)/C10+F256</f>
        <v/>
      </c>
      <c r="H256" s="27">
        <f>C256-G256</f>
        <v/>
      </c>
      <c r="I256" s="27">
        <f>C6+(E256/1000)/C7</f>
        <v/>
      </c>
    </row>
    <row r="257" ht="12.95" customHeight="1" s="44">
      <c r="B257" s="25">
        <f>(228/80*(60/C5))</f>
        <v/>
      </c>
      <c r="C257" s="25">
        <f>IF(MOD((228/80*(60/C5)),(60/C5))&lt;(60/C5*C9),C6+C4,C6)</f>
        <v/>
      </c>
      <c r="D257" s="25">
        <f>IF(MOD((228/80*(60/C5)),(60/C5))&lt;(60/C5*C9),((C6+C4)/C8)*EXP(-MOD((228/80*(60/C5)),(60/C5))/(C8*C7))*60,-(((C6+C4)*C7*(1-EXP(-(60/C5*C9)/(C8*C7))))/(C8*C7))*EXP(-(MOD((228/80*(60/C5)),(60/C5))-(60/C5*C9))/(C8*C7))*60)</f>
        <v/>
      </c>
      <c r="E257" s="26">
        <f>(IF(MOD((228/80*(60/C5)),(60/C5))&lt;(60/C5*C9),(C6+C4)*C7*(1-EXP(-MOD((228/80*(60/C5)),(60/C5))/(C8*C7))),((C6+C4)*C7*(1-EXP(-(60/C5*C9)/(C8*C7))))*EXP(-(MOD((228/80*(60/C5)),(60/C5))-(60/C5*C9))/(C8*C7))))*1000</f>
        <v/>
      </c>
      <c r="F257" s="25">
        <f>IF(AND(MOD((228/80*(60/C5)),(60/C5))&lt;(60/C5*C9),MOD((228/80*(60/C5)),(60/C5))&lt;C12),-ABS(C11)*SIN(PI()*MOD((228/80*(60/C5)),(60/C5))/C12),0)</f>
        <v/>
      </c>
      <c r="G257" s="25">
        <f>C6*(C10/(C7+C10))+(E257/1000)/C10+F257</f>
        <v/>
      </c>
      <c r="H257" s="25">
        <f>C257-G257</f>
        <v/>
      </c>
      <c r="I257" s="25">
        <f>C6+(E257/1000)/C7</f>
        <v/>
      </c>
    </row>
    <row r="258" ht="12.95" customHeight="1" s="44">
      <c r="B258" s="27">
        <f>(229/80*(60/C5))</f>
        <v/>
      </c>
      <c r="C258" s="27">
        <f>IF(MOD((229/80*(60/C5)),(60/C5))&lt;(60/C5*C9),C6+C4,C6)</f>
        <v/>
      </c>
      <c r="D258" s="27">
        <f>IF(MOD((229/80*(60/C5)),(60/C5))&lt;(60/C5*C9),((C6+C4)/C8)*EXP(-MOD((229/80*(60/C5)),(60/C5))/(C8*C7))*60,-(((C6+C4)*C7*(1-EXP(-(60/C5*C9)/(C8*C7))))/(C8*C7))*EXP(-(MOD((229/80*(60/C5)),(60/C5))-(60/C5*C9))/(C8*C7))*60)</f>
        <v/>
      </c>
      <c r="E258" s="28">
        <f>(IF(MOD((229/80*(60/C5)),(60/C5))&lt;(60/C5*C9),(C6+C4)*C7*(1-EXP(-MOD((229/80*(60/C5)),(60/C5))/(C8*C7))),((C6+C4)*C7*(1-EXP(-(60/C5*C9)/(C8*C7))))*EXP(-(MOD((229/80*(60/C5)),(60/C5))-(60/C5*C9))/(C8*C7))))*1000</f>
        <v/>
      </c>
      <c r="F258" s="27">
        <f>IF(AND(MOD((229/80*(60/C5)),(60/C5))&lt;(60/C5*C9),MOD((229/80*(60/C5)),(60/C5))&lt;C12),-ABS(C11)*SIN(PI()*MOD((229/80*(60/C5)),(60/C5))/C12),0)</f>
        <v/>
      </c>
      <c r="G258" s="27">
        <f>C6*(C10/(C7+C10))+(E258/1000)/C10+F258</f>
        <v/>
      </c>
      <c r="H258" s="27">
        <f>C258-G258</f>
        <v/>
      </c>
      <c r="I258" s="27">
        <f>C6+(E258/1000)/C7</f>
        <v/>
      </c>
    </row>
    <row r="259" ht="12.95" customHeight="1" s="44">
      <c r="B259" s="25">
        <f>(230/80*(60/C5))</f>
        <v/>
      </c>
      <c r="C259" s="25">
        <f>IF(MOD((230/80*(60/C5)),(60/C5))&lt;(60/C5*C9),C6+C4,C6)</f>
        <v/>
      </c>
      <c r="D259" s="25">
        <f>IF(MOD((230/80*(60/C5)),(60/C5))&lt;(60/C5*C9),((C6+C4)/C8)*EXP(-MOD((230/80*(60/C5)),(60/C5))/(C8*C7))*60,-(((C6+C4)*C7*(1-EXP(-(60/C5*C9)/(C8*C7))))/(C8*C7))*EXP(-(MOD((230/80*(60/C5)),(60/C5))-(60/C5*C9))/(C8*C7))*60)</f>
        <v/>
      </c>
      <c r="E259" s="26">
        <f>(IF(MOD((230/80*(60/C5)),(60/C5))&lt;(60/C5*C9),(C6+C4)*C7*(1-EXP(-MOD((230/80*(60/C5)),(60/C5))/(C8*C7))),((C6+C4)*C7*(1-EXP(-(60/C5*C9)/(C8*C7))))*EXP(-(MOD((230/80*(60/C5)),(60/C5))-(60/C5*C9))/(C8*C7))))*1000</f>
        <v/>
      </c>
      <c r="F259" s="25">
        <f>IF(AND(MOD((230/80*(60/C5)),(60/C5))&lt;(60/C5*C9),MOD((230/80*(60/C5)),(60/C5))&lt;C12),-ABS(C11)*SIN(PI()*MOD((230/80*(60/C5)),(60/C5))/C12),0)</f>
        <v/>
      </c>
      <c r="G259" s="25">
        <f>C6*(C10/(C7+C10))+(E259/1000)/C10+F259</f>
        <v/>
      </c>
      <c r="H259" s="25">
        <f>C259-G259</f>
        <v/>
      </c>
      <c r="I259" s="25">
        <f>C6+(E259/1000)/C7</f>
        <v/>
      </c>
    </row>
    <row r="260" ht="12.95" customHeight="1" s="44">
      <c r="B260" s="27">
        <f>(231/80*(60/C5))</f>
        <v/>
      </c>
      <c r="C260" s="27">
        <f>IF(MOD((231/80*(60/C5)),(60/C5))&lt;(60/C5*C9),C6+C4,C6)</f>
        <v/>
      </c>
      <c r="D260" s="27">
        <f>IF(MOD((231/80*(60/C5)),(60/C5))&lt;(60/C5*C9),((C6+C4)/C8)*EXP(-MOD((231/80*(60/C5)),(60/C5))/(C8*C7))*60,-(((C6+C4)*C7*(1-EXP(-(60/C5*C9)/(C8*C7))))/(C8*C7))*EXP(-(MOD((231/80*(60/C5)),(60/C5))-(60/C5*C9))/(C8*C7))*60)</f>
        <v/>
      </c>
      <c r="E260" s="28">
        <f>(IF(MOD((231/80*(60/C5)),(60/C5))&lt;(60/C5*C9),(C6+C4)*C7*(1-EXP(-MOD((231/80*(60/C5)),(60/C5))/(C8*C7))),((C6+C4)*C7*(1-EXP(-(60/C5*C9)/(C8*C7))))*EXP(-(MOD((231/80*(60/C5)),(60/C5))-(60/C5*C9))/(C8*C7))))*1000</f>
        <v/>
      </c>
      <c r="F260" s="27">
        <f>IF(AND(MOD((231/80*(60/C5)),(60/C5))&lt;(60/C5*C9),MOD((231/80*(60/C5)),(60/C5))&lt;C12),-ABS(C11)*SIN(PI()*MOD((231/80*(60/C5)),(60/C5))/C12),0)</f>
        <v/>
      </c>
      <c r="G260" s="27">
        <f>C6*(C10/(C7+C10))+(E260/1000)/C10+F260</f>
        <v/>
      </c>
      <c r="H260" s="27">
        <f>C260-G260</f>
        <v/>
      </c>
      <c r="I260" s="27">
        <f>C6+(E260/1000)/C7</f>
        <v/>
      </c>
    </row>
    <row r="261" ht="12.95" customHeight="1" s="44">
      <c r="B261" s="25">
        <f>(232/80*(60/C5))</f>
        <v/>
      </c>
      <c r="C261" s="25">
        <f>IF(MOD((232/80*(60/C5)),(60/C5))&lt;(60/C5*C9),C6+C4,C6)</f>
        <v/>
      </c>
      <c r="D261" s="25">
        <f>IF(MOD((232/80*(60/C5)),(60/C5))&lt;(60/C5*C9),((C6+C4)/C8)*EXP(-MOD((232/80*(60/C5)),(60/C5))/(C8*C7))*60,-(((C6+C4)*C7*(1-EXP(-(60/C5*C9)/(C8*C7))))/(C8*C7))*EXP(-(MOD((232/80*(60/C5)),(60/C5))-(60/C5*C9))/(C8*C7))*60)</f>
        <v/>
      </c>
      <c r="E261" s="26">
        <f>(IF(MOD((232/80*(60/C5)),(60/C5))&lt;(60/C5*C9),(C6+C4)*C7*(1-EXP(-MOD((232/80*(60/C5)),(60/C5))/(C8*C7))),((C6+C4)*C7*(1-EXP(-(60/C5*C9)/(C8*C7))))*EXP(-(MOD((232/80*(60/C5)),(60/C5))-(60/C5*C9))/(C8*C7))))*1000</f>
        <v/>
      </c>
      <c r="F261" s="25">
        <f>IF(AND(MOD((232/80*(60/C5)),(60/C5))&lt;(60/C5*C9),MOD((232/80*(60/C5)),(60/C5))&lt;C12),-ABS(C11)*SIN(PI()*MOD((232/80*(60/C5)),(60/C5))/C12),0)</f>
        <v/>
      </c>
      <c r="G261" s="25">
        <f>C6*(C10/(C7+C10))+(E261/1000)/C10+F261</f>
        <v/>
      </c>
      <c r="H261" s="25">
        <f>C261-G261</f>
        <v/>
      </c>
      <c r="I261" s="25">
        <f>C6+(E261/1000)/C7</f>
        <v/>
      </c>
    </row>
    <row r="262" ht="12.95" customHeight="1" s="44">
      <c r="B262" s="27">
        <f>(233/80*(60/C5))</f>
        <v/>
      </c>
      <c r="C262" s="27">
        <f>IF(MOD((233/80*(60/C5)),(60/C5))&lt;(60/C5*C9),C6+C4,C6)</f>
        <v/>
      </c>
      <c r="D262" s="27">
        <f>IF(MOD((233/80*(60/C5)),(60/C5))&lt;(60/C5*C9),((C6+C4)/C8)*EXP(-MOD((233/80*(60/C5)),(60/C5))/(C8*C7))*60,-(((C6+C4)*C7*(1-EXP(-(60/C5*C9)/(C8*C7))))/(C8*C7))*EXP(-(MOD((233/80*(60/C5)),(60/C5))-(60/C5*C9))/(C8*C7))*60)</f>
        <v/>
      </c>
      <c r="E262" s="28">
        <f>(IF(MOD((233/80*(60/C5)),(60/C5))&lt;(60/C5*C9),(C6+C4)*C7*(1-EXP(-MOD((233/80*(60/C5)),(60/C5))/(C8*C7))),((C6+C4)*C7*(1-EXP(-(60/C5*C9)/(C8*C7))))*EXP(-(MOD((233/80*(60/C5)),(60/C5))-(60/C5*C9))/(C8*C7))))*1000</f>
        <v/>
      </c>
      <c r="F262" s="27">
        <f>IF(AND(MOD((233/80*(60/C5)),(60/C5))&lt;(60/C5*C9),MOD((233/80*(60/C5)),(60/C5))&lt;C12),-ABS(C11)*SIN(PI()*MOD((233/80*(60/C5)),(60/C5))/C12),0)</f>
        <v/>
      </c>
      <c r="G262" s="27">
        <f>C6*(C10/(C7+C10))+(E262/1000)/C10+F262</f>
        <v/>
      </c>
      <c r="H262" s="27">
        <f>C262-G262</f>
        <v/>
      </c>
      <c r="I262" s="27">
        <f>C6+(E262/1000)/C7</f>
        <v/>
      </c>
    </row>
    <row r="263" ht="12.95" customHeight="1" s="44">
      <c r="B263" s="25">
        <f>(234/80*(60/C5))</f>
        <v/>
      </c>
      <c r="C263" s="25">
        <f>IF(MOD((234/80*(60/C5)),(60/C5))&lt;(60/C5*C9),C6+C4,C6)</f>
        <v/>
      </c>
      <c r="D263" s="25">
        <f>IF(MOD((234/80*(60/C5)),(60/C5))&lt;(60/C5*C9),((C6+C4)/C8)*EXP(-MOD((234/80*(60/C5)),(60/C5))/(C8*C7))*60,-(((C6+C4)*C7*(1-EXP(-(60/C5*C9)/(C8*C7))))/(C8*C7))*EXP(-(MOD((234/80*(60/C5)),(60/C5))-(60/C5*C9))/(C8*C7))*60)</f>
        <v/>
      </c>
      <c r="E263" s="26">
        <f>(IF(MOD((234/80*(60/C5)),(60/C5))&lt;(60/C5*C9),(C6+C4)*C7*(1-EXP(-MOD((234/80*(60/C5)),(60/C5))/(C8*C7))),((C6+C4)*C7*(1-EXP(-(60/C5*C9)/(C8*C7))))*EXP(-(MOD((234/80*(60/C5)),(60/C5))-(60/C5*C9))/(C8*C7))))*1000</f>
        <v/>
      </c>
      <c r="F263" s="25">
        <f>IF(AND(MOD((234/80*(60/C5)),(60/C5))&lt;(60/C5*C9),MOD((234/80*(60/C5)),(60/C5))&lt;C12),-ABS(C11)*SIN(PI()*MOD((234/80*(60/C5)),(60/C5))/C12),0)</f>
        <v/>
      </c>
      <c r="G263" s="25">
        <f>C6*(C10/(C7+C10))+(E263/1000)/C10+F263</f>
        <v/>
      </c>
      <c r="H263" s="25">
        <f>C263-G263</f>
        <v/>
      </c>
      <c r="I263" s="25">
        <f>C6+(E263/1000)/C7</f>
        <v/>
      </c>
    </row>
    <row r="264" ht="12.95" customHeight="1" s="44">
      <c r="B264" s="27">
        <f>(235/80*(60/C5))</f>
        <v/>
      </c>
      <c r="C264" s="27">
        <f>IF(MOD((235/80*(60/C5)),(60/C5))&lt;(60/C5*C9),C6+C4,C6)</f>
        <v/>
      </c>
      <c r="D264" s="27">
        <f>IF(MOD((235/80*(60/C5)),(60/C5))&lt;(60/C5*C9),((C6+C4)/C8)*EXP(-MOD((235/80*(60/C5)),(60/C5))/(C8*C7))*60,-(((C6+C4)*C7*(1-EXP(-(60/C5*C9)/(C8*C7))))/(C8*C7))*EXP(-(MOD((235/80*(60/C5)),(60/C5))-(60/C5*C9))/(C8*C7))*60)</f>
        <v/>
      </c>
      <c r="E264" s="28">
        <f>(IF(MOD((235/80*(60/C5)),(60/C5))&lt;(60/C5*C9),(C6+C4)*C7*(1-EXP(-MOD((235/80*(60/C5)),(60/C5))/(C8*C7))),((C6+C4)*C7*(1-EXP(-(60/C5*C9)/(C8*C7))))*EXP(-(MOD((235/80*(60/C5)),(60/C5))-(60/C5*C9))/(C8*C7))))*1000</f>
        <v/>
      </c>
      <c r="F264" s="27">
        <f>IF(AND(MOD((235/80*(60/C5)),(60/C5))&lt;(60/C5*C9),MOD((235/80*(60/C5)),(60/C5))&lt;C12),-ABS(C11)*SIN(PI()*MOD((235/80*(60/C5)),(60/C5))/C12),0)</f>
        <v/>
      </c>
      <c r="G264" s="27">
        <f>C6*(C10/(C7+C10))+(E264/1000)/C10+F264</f>
        <v/>
      </c>
      <c r="H264" s="27">
        <f>C264-G264</f>
        <v/>
      </c>
      <c r="I264" s="27">
        <f>C6+(E264/1000)/C7</f>
        <v/>
      </c>
    </row>
    <row r="265" ht="12.95" customHeight="1" s="44">
      <c r="B265" s="25">
        <f>(236/80*(60/C5))</f>
        <v/>
      </c>
      <c r="C265" s="25">
        <f>IF(MOD((236/80*(60/C5)),(60/C5))&lt;(60/C5*C9),C6+C4,C6)</f>
        <v/>
      </c>
      <c r="D265" s="25">
        <f>IF(MOD((236/80*(60/C5)),(60/C5))&lt;(60/C5*C9),((C6+C4)/C8)*EXP(-MOD((236/80*(60/C5)),(60/C5))/(C8*C7))*60,-(((C6+C4)*C7*(1-EXP(-(60/C5*C9)/(C8*C7))))/(C8*C7))*EXP(-(MOD((236/80*(60/C5)),(60/C5))-(60/C5*C9))/(C8*C7))*60)</f>
        <v/>
      </c>
      <c r="E265" s="26">
        <f>(IF(MOD((236/80*(60/C5)),(60/C5))&lt;(60/C5*C9),(C6+C4)*C7*(1-EXP(-MOD((236/80*(60/C5)),(60/C5))/(C8*C7))),((C6+C4)*C7*(1-EXP(-(60/C5*C9)/(C8*C7))))*EXP(-(MOD((236/80*(60/C5)),(60/C5))-(60/C5*C9))/(C8*C7))))*1000</f>
        <v/>
      </c>
      <c r="F265" s="25">
        <f>IF(AND(MOD((236/80*(60/C5)),(60/C5))&lt;(60/C5*C9),MOD((236/80*(60/C5)),(60/C5))&lt;C12),-ABS(C11)*SIN(PI()*MOD((236/80*(60/C5)),(60/C5))/C12),0)</f>
        <v/>
      </c>
      <c r="G265" s="25">
        <f>C6*(C10/(C7+C10))+(E265/1000)/C10+F265</f>
        <v/>
      </c>
      <c r="H265" s="25">
        <f>C265-G265</f>
        <v/>
      </c>
      <c r="I265" s="25">
        <f>C6+(E265/1000)/C7</f>
        <v/>
      </c>
    </row>
    <row r="266" ht="12.95" customHeight="1" s="44">
      <c r="B266" s="27">
        <f>(237/80*(60/C5))</f>
        <v/>
      </c>
      <c r="C266" s="27">
        <f>IF(MOD((237/80*(60/C5)),(60/C5))&lt;(60/C5*C9),C6+C4,C6)</f>
        <v/>
      </c>
      <c r="D266" s="27">
        <f>IF(MOD((237/80*(60/C5)),(60/C5))&lt;(60/C5*C9),((C6+C4)/C8)*EXP(-MOD((237/80*(60/C5)),(60/C5))/(C8*C7))*60,-(((C6+C4)*C7*(1-EXP(-(60/C5*C9)/(C8*C7))))/(C8*C7))*EXP(-(MOD((237/80*(60/C5)),(60/C5))-(60/C5*C9))/(C8*C7))*60)</f>
        <v/>
      </c>
      <c r="E266" s="28">
        <f>(IF(MOD((237/80*(60/C5)),(60/C5))&lt;(60/C5*C9),(C6+C4)*C7*(1-EXP(-MOD((237/80*(60/C5)),(60/C5))/(C8*C7))),((C6+C4)*C7*(1-EXP(-(60/C5*C9)/(C8*C7))))*EXP(-(MOD((237/80*(60/C5)),(60/C5))-(60/C5*C9))/(C8*C7))))*1000</f>
        <v/>
      </c>
      <c r="F266" s="27">
        <f>IF(AND(MOD((237/80*(60/C5)),(60/C5))&lt;(60/C5*C9),MOD((237/80*(60/C5)),(60/C5))&lt;C12),-ABS(C11)*SIN(PI()*MOD((237/80*(60/C5)),(60/C5))/C12),0)</f>
        <v/>
      </c>
      <c r="G266" s="27">
        <f>C6*(C10/(C7+C10))+(E266/1000)/C10+F266</f>
        <v/>
      </c>
      <c r="H266" s="27">
        <f>C266-G266</f>
        <v/>
      </c>
      <c r="I266" s="27">
        <f>C6+(E266/1000)/C7</f>
        <v/>
      </c>
    </row>
    <row r="267" ht="12.95" customHeight="1" s="44">
      <c r="B267" s="25">
        <f>(238/80*(60/C5))</f>
        <v/>
      </c>
      <c r="C267" s="25">
        <f>IF(MOD((238/80*(60/C5)),(60/C5))&lt;(60/C5*C9),C6+C4,C6)</f>
        <v/>
      </c>
      <c r="D267" s="25">
        <f>IF(MOD((238/80*(60/C5)),(60/C5))&lt;(60/C5*C9),((C6+C4)/C8)*EXP(-MOD((238/80*(60/C5)),(60/C5))/(C8*C7))*60,-(((C6+C4)*C7*(1-EXP(-(60/C5*C9)/(C8*C7))))/(C8*C7))*EXP(-(MOD((238/80*(60/C5)),(60/C5))-(60/C5*C9))/(C8*C7))*60)</f>
        <v/>
      </c>
      <c r="E267" s="26">
        <f>(IF(MOD((238/80*(60/C5)),(60/C5))&lt;(60/C5*C9),(C6+C4)*C7*(1-EXP(-MOD((238/80*(60/C5)),(60/C5))/(C8*C7))),((C6+C4)*C7*(1-EXP(-(60/C5*C9)/(C8*C7))))*EXP(-(MOD((238/80*(60/C5)),(60/C5))-(60/C5*C9))/(C8*C7))))*1000</f>
        <v/>
      </c>
      <c r="F267" s="25">
        <f>IF(AND(MOD((238/80*(60/C5)),(60/C5))&lt;(60/C5*C9),MOD((238/80*(60/C5)),(60/C5))&lt;C12),-ABS(C11)*SIN(PI()*MOD((238/80*(60/C5)),(60/C5))/C12),0)</f>
        <v/>
      </c>
      <c r="G267" s="25">
        <f>C6*(C10/(C7+C10))+(E267/1000)/C10+F267</f>
        <v/>
      </c>
      <c r="H267" s="25">
        <f>C267-G267</f>
        <v/>
      </c>
      <c r="I267" s="25">
        <f>C6+(E267/1000)/C7</f>
        <v/>
      </c>
    </row>
    <row r="268" ht="12.95" customHeight="1" s="44">
      <c r="B268" s="27">
        <f>(239/80*(60/C5))</f>
        <v/>
      </c>
      <c r="C268" s="27">
        <f>IF(MOD((239/80*(60/C5)),(60/C5))&lt;(60/C5*C9),C6+C4,C6)</f>
        <v/>
      </c>
      <c r="D268" s="27">
        <f>IF(MOD((239/80*(60/C5)),(60/C5))&lt;(60/C5*C9),((C6+C4)/C8)*EXP(-MOD((239/80*(60/C5)),(60/C5))/(C8*C7))*60,-(((C6+C4)*C7*(1-EXP(-(60/C5*C9)/(C8*C7))))/(C8*C7))*EXP(-(MOD((239/80*(60/C5)),(60/C5))-(60/C5*C9))/(C8*C7))*60)</f>
        <v/>
      </c>
      <c r="E268" s="28">
        <f>(IF(MOD((239/80*(60/C5)),(60/C5))&lt;(60/C5*C9),(C6+C4)*C7*(1-EXP(-MOD((239/80*(60/C5)),(60/C5))/(C8*C7))),((C6+C4)*C7*(1-EXP(-(60/C5*C9)/(C8*C7))))*EXP(-(MOD((239/80*(60/C5)),(60/C5))-(60/C5*C9))/(C8*C7))))*1000</f>
        <v/>
      </c>
      <c r="F268" s="27">
        <f>IF(AND(MOD((239/80*(60/C5)),(60/C5))&lt;(60/C5*C9),MOD((239/80*(60/C5)),(60/C5))&lt;C12),-ABS(C11)*SIN(PI()*MOD((239/80*(60/C5)),(60/C5))/C12),0)</f>
        <v/>
      </c>
      <c r="G268" s="27">
        <f>C6*(C10/(C7+C10))+(E268/1000)/C10+F268</f>
        <v/>
      </c>
      <c r="H268" s="27">
        <f>C268-G268</f>
        <v/>
      </c>
      <c r="I268" s="27">
        <f>C6+(E268/1000)/C7</f>
        <v/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4">
    <mergeCell ref="B15:E15"/>
    <mergeCell ref="B1:O1"/>
    <mergeCell ref="B2:O2"/>
    <mergeCell ref="B27:I27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1:O265"/>
  <sheetViews>
    <sheetView showGridLines="0" workbookViewId="0">
      <selection activeCell="H11" sqref="H11"/>
    </sheetView>
  </sheetViews>
  <sheetFormatPr baseColWidth="8" defaultRowHeight="15"/>
  <cols>
    <col width="2" customWidth="1" style="44" min="1" max="1"/>
    <col width="30" customWidth="1" style="44" min="2" max="2"/>
    <col width="14" customWidth="1" style="44" min="3" max="4"/>
    <col width="40" customWidth="1" style="44" min="5" max="5"/>
    <col width="2" customWidth="1" style="44" min="6" max="6"/>
    <col width="22" customWidth="1" style="44" min="7" max="16"/>
  </cols>
  <sheetData>
    <row r="1" ht="27.95" customHeight="1" s="44">
      <c r="B1" s="48" t="inlineStr">
        <is>
          <t xml:space="preserve">  APRV — Airway Pressure Release Ventilation</t>
        </is>
      </c>
    </row>
    <row r="2" ht="18" customHeight="1" s="44">
      <c r="B2" s="53" t="inlineStr">
        <is>
          <t>Change YELLOW cells → All 3 breath cycles update instantly  |  cmH2O · mL · L/min</t>
        </is>
      </c>
    </row>
    <row r="3" ht="20.1" customHeight="1" s="44">
      <c r="B3" s="11" t="inlineStr">
        <is>
          <t>Parameter</t>
        </is>
      </c>
      <c r="C3" s="11" t="inlineStr">
        <is>
          <t>Value</t>
        </is>
      </c>
      <c r="D3" s="11" t="inlineStr">
        <is>
          <t>Unit</t>
        </is>
      </c>
      <c r="E3" s="11" t="inlineStr">
        <is>
          <t>Description</t>
        </is>
      </c>
    </row>
    <row r="4" ht="20.1" customHeight="1" s="44">
      <c r="B4" s="12" t="inlineStr">
        <is>
          <t>P_high</t>
        </is>
      </c>
      <c r="C4" s="13" t="n">
        <v>25</v>
      </c>
      <c r="D4" s="14" t="inlineStr">
        <is>
          <t>cmH2O</t>
        </is>
      </c>
      <c r="E4" s="15" t="inlineStr">
        <is>
          <t>High airway pressure (20–35 cmH2O)</t>
        </is>
      </c>
    </row>
    <row r="5" ht="20.1" customHeight="1" s="44">
      <c r="B5" s="12" t="inlineStr">
        <is>
          <t>P_low</t>
        </is>
      </c>
      <c r="C5" s="13" t="n">
        <v>0</v>
      </c>
      <c r="D5" s="14" t="inlineStr">
        <is>
          <t>cmH2O</t>
        </is>
      </c>
      <c r="E5" s="15" t="inlineStr">
        <is>
          <t>Release pressure (0–5 cmH2O)</t>
        </is>
      </c>
    </row>
    <row r="6" ht="20.1" customHeight="1" s="44">
      <c r="B6" s="12" t="inlineStr">
        <is>
          <t>T_high</t>
        </is>
      </c>
      <c r="C6" s="13" t="n">
        <v>4.5</v>
      </c>
      <c r="D6" s="14" t="inlineStr">
        <is>
          <t>s</t>
        </is>
      </c>
      <c r="E6" s="15" t="inlineStr">
        <is>
          <t>Time at high pressure (3–6 s)</t>
        </is>
      </c>
    </row>
    <row r="7" ht="20.1" customHeight="1" s="44">
      <c r="B7" s="12" t="inlineStr">
        <is>
          <t>T_low</t>
        </is>
      </c>
      <c r="C7" s="13" t="n">
        <v>0.2</v>
      </c>
      <c r="D7" s="14" t="inlineStr">
        <is>
          <t>s</t>
        </is>
      </c>
      <c r="E7" s="15" t="inlineStr">
        <is>
          <t>Release time — target 75% of peak exp flow</t>
        </is>
      </c>
    </row>
    <row r="8" ht="20.1" customHeight="1" s="44">
      <c r="B8" s="12" t="inlineStr">
        <is>
          <t>Compliance (C)</t>
        </is>
      </c>
      <c r="C8" s="13" t="n">
        <v>0.05</v>
      </c>
      <c r="D8" s="14" t="inlineStr">
        <is>
          <t>L/cmH2O</t>
        </is>
      </c>
      <c r="E8" s="15" t="inlineStr">
        <is>
          <t>Respiratory system compliance</t>
        </is>
      </c>
    </row>
    <row r="9" ht="20.1" customHeight="1" s="44">
      <c r="B9" s="12" t="inlineStr">
        <is>
          <t>Resistance (R)</t>
        </is>
      </c>
      <c r="C9" s="13" t="n">
        <v>5</v>
      </c>
      <c r="D9" s="14" t="inlineStr">
        <is>
          <t>cmH2O/L/s</t>
        </is>
      </c>
      <c r="E9" s="15" t="inlineStr">
        <is>
          <t>Airway resistance</t>
        </is>
      </c>
    </row>
    <row r="10" ht="20.1" customHeight="1" s="44">
      <c r="B10" s="12" t="inlineStr">
        <is>
          <t>Chest Wall Compliance (Ccw)</t>
        </is>
      </c>
      <c r="C10" s="13" t="n">
        <v>0.2</v>
      </c>
      <c r="D10" s="14" t="inlineStr">
        <is>
          <t>L/cmH2O</t>
        </is>
      </c>
      <c r="E10" s="15" t="inlineStr">
        <is>
          <t>Chest wall compliance</t>
        </is>
      </c>
    </row>
    <row r="11" ht="20.1" customHeight="1" s="44">
      <c r="B11" s="12" t="inlineStr">
        <is>
          <t>Pmus peak (effort)</t>
        </is>
      </c>
      <c r="C11" s="13" t="n">
        <v>8</v>
      </c>
      <c r="D11" s="14" t="inlineStr">
        <is>
          <t>cmH2O</t>
        </is>
      </c>
      <c r="E11" s="15" t="inlineStr">
        <is>
          <t>Spontaneous effort during T_high</t>
        </is>
      </c>
    </row>
    <row r="12" ht="20.1" customHeight="1" s="44">
      <c r="B12" s="12" t="inlineStr">
        <is>
          <t>Pmus duration</t>
        </is>
      </c>
      <c r="C12" s="13" t="n">
        <v>1</v>
      </c>
      <c r="D12" s="14" t="inlineStr">
        <is>
          <t>s</t>
        </is>
      </c>
      <c r="E12" s="15" t="inlineStr">
        <is>
          <t>Duration of spontaneous effort in seconds</t>
        </is>
      </c>
    </row>
    <row r="14" ht="21.95" customHeight="1" s="44">
      <c r="B14" s="47" t="inlineStr">
        <is>
          <t>DERIVED PARAMETERS  (auto-calculated)</t>
        </is>
      </c>
    </row>
    <row r="15" ht="20.1" customHeight="1" s="44">
      <c r="B15" s="12" t="inlineStr">
        <is>
          <t>Total Cycle Time</t>
        </is>
      </c>
      <c r="C15" s="16">
        <f>C6+C7</f>
        <v/>
      </c>
      <c r="D15" s="14" t="inlineStr">
        <is>
          <t>s</t>
        </is>
      </c>
      <c r="E15" s="15" t="inlineStr">
        <is>
          <t>T_high + T_low</t>
        </is>
      </c>
    </row>
    <row r="16" ht="20.1" customHeight="1" s="44">
      <c r="B16" s="12" t="inlineStr">
        <is>
          <t>Respiratory Rate (equiv)</t>
        </is>
      </c>
      <c r="C16" s="16">
        <f>60/(C6+C7)</f>
        <v/>
      </c>
      <c r="D16" s="14" t="inlineStr">
        <is>
          <t>br/min</t>
        </is>
      </c>
      <c r="E16" s="15" t="inlineStr">
        <is>
          <t>60 / T_cycle</t>
        </is>
      </c>
    </row>
    <row r="17" ht="20.1" customHeight="1" s="44">
      <c r="B17" s="12" t="inlineStr">
        <is>
          <t>Time Constant (τ=R×C)</t>
        </is>
      </c>
      <c r="C17" s="16">
        <f>C9*C8</f>
        <v/>
      </c>
      <c r="D17" s="14" t="inlineStr">
        <is>
          <t>s</t>
        </is>
      </c>
      <c r="E17" s="15" t="inlineStr">
        <is>
          <t>Expiratory time constant</t>
        </is>
      </c>
    </row>
    <row r="18" ht="20.1" customHeight="1" s="44">
      <c r="B18" s="12" t="inlineStr">
        <is>
          <t>Release Volume (L)</t>
        </is>
      </c>
      <c r="C18" s="16">
        <f>(C4-C5)*C8*(1-EXP(-C7/(C9*C8)))</f>
        <v/>
      </c>
      <c r="D18" s="14" t="inlineStr">
        <is>
          <t>L</t>
        </is>
      </c>
      <c r="E18" s="15" t="inlineStr">
        <is>
          <t>Volume released during T_low</t>
        </is>
      </c>
    </row>
    <row r="19" ht="20.1" customHeight="1" s="44">
      <c r="B19" s="12" t="inlineStr">
        <is>
          <t>Release Volume (mL)</t>
        </is>
      </c>
      <c r="C19" s="16">
        <f>(C4-C5)*C8*(1-EXP(-C7/(C9*C8)))*1000</f>
        <v/>
      </c>
      <c r="D19" s="14" t="inlineStr">
        <is>
          <t>mL</t>
        </is>
      </c>
      <c r="E19" s="15" t="inlineStr">
        <is>
          <t>×1000</t>
        </is>
      </c>
    </row>
    <row r="20" ht="20.1" customHeight="1" s="44">
      <c r="B20" s="12" t="inlineStr">
        <is>
          <t>V_high (mL)</t>
        </is>
      </c>
      <c r="C20" s="16">
        <f>C4*C8*1000</f>
        <v/>
      </c>
      <c r="D20" s="14" t="inlineStr">
        <is>
          <t>mL</t>
        </is>
      </c>
      <c r="E20" s="15" t="inlineStr">
        <is>
          <t>Equilibrium volume at P_high</t>
        </is>
      </c>
    </row>
    <row r="21" ht="20.1" customHeight="1" s="44">
      <c r="B21" s="12" t="inlineStr">
        <is>
          <t>V_low (mL)</t>
        </is>
      </c>
      <c r="C21" s="16">
        <f>C5*C8*1000</f>
        <v/>
      </c>
      <c r="D21" s="14" t="inlineStr">
        <is>
          <t>mL</t>
        </is>
      </c>
      <c r="E21" s="15" t="inlineStr">
        <is>
          <t>Equilibrium volume at P_low</t>
        </is>
      </c>
    </row>
    <row r="22" ht="20.1" customHeight="1" s="44">
      <c r="B22" s="12" t="inlineStr">
        <is>
          <t>Mean Airway Pressure</t>
        </is>
      </c>
      <c r="C22" s="16">
        <f>(C4*C6+C5*C7)/(C6+C7)</f>
        <v/>
      </c>
      <c r="D22" s="14" t="inlineStr">
        <is>
          <t>cmH2O</t>
        </is>
      </c>
      <c r="E22" s="15" t="inlineStr">
        <is>
          <t>Time-weighted average Paw</t>
        </is>
      </c>
    </row>
    <row r="24" ht="20.1" customHeight="1" s="44">
      <c r="B24" s="50" t="inlineStr">
        <is>
          <t>WAVEFORM DATA — 3 BREATH CYCLES × 80 points = 240 rows  (formulas update automatically)</t>
        </is>
      </c>
    </row>
    <row r="25" ht="18" customHeight="1" s="44">
      <c r="B25" s="17" t="inlineStr">
        <is>
          <t>Time (s)</t>
        </is>
      </c>
      <c r="C25" s="18" t="inlineStr">
        <is>
          <t>Paw (cmH2O)</t>
        </is>
      </c>
      <c r="D25" s="19" t="inlineStr">
        <is>
          <t>Flow (L/min)</t>
        </is>
      </c>
      <c r="E25" s="20" t="inlineStr">
        <is>
          <t>Volume (mL)</t>
        </is>
      </c>
      <c r="F25" s="21" t="inlineStr">
        <is>
          <t>Pmus (cmH2O)</t>
        </is>
      </c>
      <c r="G25" s="22" t="inlineStr">
        <is>
          <t>Pes (cmH2O)</t>
        </is>
      </c>
      <c r="H25" s="23" t="inlineStr">
        <is>
          <t>PL (cmH2O)</t>
        </is>
      </c>
      <c r="I25" s="24" t="inlineStr">
        <is>
          <t>Palv (cmH2O)</t>
        </is>
      </c>
    </row>
    <row r="26" ht="12.95" customHeight="1" s="44">
      <c r="B26" s="25">
        <f>(0/80*(C6+C7))</f>
        <v/>
      </c>
      <c r="C26" s="25">
        <f>IF(MOD((0/80*(C6+C7)),(C6+C7))&lt;C6,C4,C5)</f>
        <v/>
      </c>
      <c r="D26" s="25">
        <f>IF(MOD((0/80*(C6+C7)),(C6+C7))&lt;C6,0,-((C4*C8)-(C5*C8))/(C9*C8)*EXP(-(MOD((0/80*(C6+C7)),(C6+C7))-C6)/(C9*C8))*60)</f>
        <v/>
      </c>
      <c r="E26" s="26">
        <f>(IF(MOD((0/80*(C6+C7)),(C6+C7))&lt;C6,(C4*C8),(C5*C8)+((C4*C8)-(C5*C8))*EXP(-(MOD((0/80*(C6+C7)),(C6+C7))-C6)/(C9*C8))))*1000</f>
        <v/>
      </c>
      <c r="F26" s="25">
        <f>IF(AND(MOD((0/80*(C6+C7)),(C6+C7))&lt;C6,MOD((0/80*(C6+C7)),(C6+C7))&lt;C12),-ABS(C11)*SIN(PI()*MOD((0/80*(C6+C7)),(C6+C7))/C12),0)</f>
        <v/>
      </c>
      <c r="G26" s="25">
        <f>C5*(C10/(C8+C10))+(E26/1000)/C10+F26</f>
        <v/>
      </c>
      <c r="H26" s="25">
        <f>C26-G26</f>
        <v/>
      </c>
      <c r="I26" s="25">
        <f>C5+(E26/1000)/C8</f>
        <v/>
      </c>
    </row>
    <row r="27" ht="12.95" customHeight="1" s="44">
      <c r="B27" s="27">
        <f>(1/80*(C6+C7))</f>
        <v/>
      </c>
      <c r="C27" s="27">
        <f>IF(MOD((1/80*(C6+C7)),(C6+C7))&lt;C6,C4,C5)</f>
        <v/>
      </c>
      <c r="D27" s="27">
        <f>IF(MOD((1/80*(C6+C7)),(C6+C7))&lt;C6,0,-((C4*C8)-(C5*C8))/(C9*C8)*EXP(-(MOD((1/80*(C6+C7)),(C6+C7))-C6)/(C9*C8))*60)</f>
        <v/>
      </c>
      <c r="E27" s="28">
        <f>(IF(MOD((1/80*(C6+C7)),(C6+C7))&lt;C6,(C4*C8),(C5*C8)+((C4*C8)-(C5*C8))*EXP(-(MOD((1/80*(C6+C7)),(C6+C7))-C6)/(C9*C8))))*1000</f>
        <v/>
      </c>
      <c r="F27" s="27">
        <f>IF(AND(MOD((1/80*(C6+C7)),(C6+C7))&lt;C6,MOD((1/80*(C6+C7)),(C6+C7))&lt;C12),-ABS(C11)*SIN(PI()*MOD((1/80*(C6+C7)),(C6+C7))/C12),0)</f>
        <v/>
      </c>
      <c r="G27" s="27">
        <f>C5*(C10/(C8+C10))+(E27/1000)/C10+F27</f>
        <v/>
      </c>
      <c r="H27" s="27">
        <f>C27-G27</f>
        <v/>
      </c>
      <c r="I27" s="27">
        <f>C5+(E27/1000)/C8</f>
        <v/>
      </c>
    </row>
    <row r="28" ht="12.95" customHeight="1" s="44">
      <c r="B28" s="25">
        <f>(2/80*(C6+C7))</f>
        <v/>
      </c>
      <c r="C28" s="25">
        <f>IF(MOD((2/80*(C6+C7)),(C6+C7))&lt;C6,C4,C5)</f>
        <v/>
      </c>
      <c r="D28" s="25">
        <f>IF(MOD((2/80*(C6+C7)),(C6+C7))&lt;C6,0,-((C4*C8)-(C5*C8))/(C9*C8)*EXP(-(MOD((2/80*(C6+C7)),(C6+C7))-C6)/(C9*C8))*60)</f>
        <v/>
      </c>
      <c r="E28" s="26">
        <f>(IF(MOD((2/80*(C6+C7)),(C6+C7))&lt;C6,(C4*C8),(C5*C8)+((C4*C8)-(C5*C8))*EXP(-(MOD((2/80*(C6+C7)),(C6+C7))-C6)/(C9*C8))))*1000</f>
        <v/>
      </c>
      <c r="F28" s="25">
        <f>IF(AND(MOD((2/80*(C6+C7)),(C6+C7))&lt;C6,MOD((2/80*(C6+C7)),(C6+C7))&lt;C12),-ABS(C11)*SIN(PI()*MOD((2/80*(C6+C7)),(C6+C7))/C12),0)</f>
        <v/>
      </c>
      <c r="G28" s="25">
        <f>C5*(C10/(C8+C10))+(E28/1000)/C10+F28</f>
        <v/>
      </c>
      <c r="H28" s="25">
        <f>C28-G28</f>
        <v/>
      </c>
      <c r="I28" s="25">
        <f>C5+(E28/1000)/C8</f>
        <v/>
      </c>
    </row>
    <row r="29" ht="12.95" customHeight="1" s="44">
      <c r="B29" s="27">
        <f>(3/80*(C6+C7))</f>
        <v/>
      </c>
      <c r="C29" s="27">
        <f>IF(MOD((3/80*(C6+C7)),(C6+C7))&lt;C6,C4,C5)</f>
        <v/>
      </c>
      <c r="D29" s="27">
        <f>IF(MOD((3/80*(C6+C7)),(C6+C7))&lt;C6,0,-((C4*C8)-(C5*C8))/(C9*C8)*EXP(-(MOD((3/80*(C6+C7)),(C6+C7))-C6)/(C9*C8))*60)</f>
        <v/>
      </c>
      <c r="E29" s="28">
        <f>(IF(MOD((3/80*(C6+C7)),(C6+C7))&lt;C6,(C4*C8),(C5*C8)+((C4*C8)-(C5*C8))*EXP(-(MOD((3/80*(C6+C7)),(C6+C7))-C6)/(C9*C8))))*1000</f>
        <v/>
      </c>
      <c r="F29" s="27">
        <f>IF(AND(MOD((3/80*(C6+C7)),(C6+C7))&lt;C6,MOD((3/80*(C6+C7)),(C6+C7))&lt;C12),-ABS(C11)*SIN(PI()*MOD((3/80*(C6+C7)),(C6+C7))/C12),0)</f>
        <v/>
      </c>
      <c r="G29" s="27">
        <f>C5*(C10/(C8+C10))+(E29/1000)/C10+F29</f>
        <v/>
      </c>
      <c r="H29" s="27">
        <f>C29-G29</f>
        <v/>
      </c>
      <c r="I29" s="27">
        <f>C5+(E29/1000)/C8</f>
        <v/>
      </c>
    </row>
    <row r="30" ht="12.95" customHeight="1" s="44">
      <c r="B30" s="25">
        <f>(4/80*(C6+C7))</f>
        <v/>
      </c>
      <c r="C30" s="25">
        <f>IF(MOD((4/80*(C6+C7)),(C6+C7))&lt;C6,C4,C5)</f>
        <v/>
      </c>
      <c r="D30" s="25">
        <f>IF(MOD((4/80*(C6+C7)),(C6+C7))&lt;C6,0,-((C4*C8)-(C5*C8))/(C9*C8)*EXP(-(MOD((4/80*(C6+C7)),(C6+C7))-C6)/(C9*C8))*60)</f>
        <v/>
      </c>
      <c r="E30" s="26">
        <f>(IF(MOD((4/80*(C6+C7)),(C6+C7))&lt;C6,(C4*C8),(C5*C8)+((C4*C8)-(C5*C8))*EXP(-(MOD((4/80*(C6+C7)),(C6+C7))-C6)/(C9*C8))))*1000</f>
        <v/>
      </c>
      <c r="F30" s="25">
        <f>IF(AND(MOD((4/80*(C6+C7)),(C6+C7))&lt;C6,MOD((4/80*(C6+C7)),(C6+C7))&lt;C12),-ABS(C11)*SIN(PI()*MOD((4/80*(C6+C7)),(C6+C7))/C12),0)</f>
        <v/>
      </c>
      <c r="G30" s="25">
        <f>C5*(C10/(C8+C10))+(E30/1000)/C10+F30</f>
        <v/>
      </c>
      <c r="H30" s="25">
        <f>C30-G30</f>
        <v/>
      </c>
      <c r="I30" s="25">
        <f>C5+(E30/1000)/C8</f>
        <v/>
      </c>
    </row>
    <row r="31" ht="12.95" customHeight="1" s="44">
      <c r="B31" s="27">
        <f>(5/80*(C6+C7))</f>
        <v/>
      </c>
      <c r="C31" s="27">
        <f>IF(MOD((5/80*(C6+C7)),(C6+C7))&lt;C6,C4,C5)</f>
        <v/>
      </c>
      <c r="D31" s="27">
        <f>IF(MOD((5/80*(C6+C7)),(C6+C7))&lt;C6,0,-((C4*C8)-(C5*C8))/(C9*C8)*EXP(-(MOD((5/80*(C6+C7)),(C6+C7))-C6)/(C9*C8))*60)</f>
        <v/>
      </c>
      <c r="E31" s="28">
        <f>(IF(MOD((5/80*(C6+C7)),(C6+C7))&lt;C6,(C4*C8),(C5*C8)+((C4*C8)-(C5*C8))*EXP(-(MOD((5/80*(C6+C7)),(C6+C7))-C6)/(C9*C8))))*1000</f>
        <v/>
      </c>
      <c r="F31" s="27">
        <f>IF(AND(MOD((5/80*(C6+C7)),(C6+C7))&lt;C6,MOD((5/80*(C6+C7)),(C6+C7))&lt;C12),-ABS(C11)*SIN(PI()*MOD((5/80*(C6+C7)),(C6+C7))/C12),0)</f>
        <v/>
      </c>
      <c r="G31" s="27">
        <f>C5*(C10/(C8+C10))+(E31/1000)/C10+F31</f>
        <v/>
      </c>
      <c r="H31" s="27">
        <f>C31-G31</f>
        <v/>
      </c>
      <c r="I31" s="27">
        <f>C5+(E31/1000)/C8</f>
        <v/>
      </c>
    </row>
    <row r="32" ht="12.95" customHeight="1" s="44">
      <c r="B32" s="25">
        <f>(6/80*(C6+C7))</f>
        <v/>
      </c>
      <c r="C32" s="25">
        <f>IF(MOD((6/80*(C6+C7)),(C6+C7))&lt;C6,C4,C5)</f>
        <v/>
      </c>
      <c r="D32" s="25">
        <f>IF(MOD((6/80*(C6+C7)),(C6+C7))&lt;C6,0,-((C4*C8)-(C5*C8))/(C9*C8)*EXP(-(MOD((6/80*(C6+C7)),(C6+C7))-C6)/(C9*C8))*60)</f>
        <v/>
      </c>
      <c r="E32" s="26">
        <f>(IF(MOD((6/80*(C6+C7)),(C6+C7))&lt;C6,(C4*C8),(C5*C8)+((C4*C8)-(C5*C8))*EXP(-(MOD((6/80*(C6+C7)),(C6+C7))-C6)/(C9*C8))))*1000</f>
        <v/>
      </c>
      <c r="F32" s="25">
        <f>IF(AND(MOD((6/80*(C6+C7)),(C6+C7))&lt;C6,MOD((6/80*(C6+C7)),(C6+C7))&lt;C12),-ABS(C11)*SIN(PI()*MOD((6/80*(C6+C7)),(C6+C7))/C12),0)</f>
        <v/>
      </c>
      <c r="G32" s="25">
        <f>C5*(C10/(C8+C10))+(E32/1000)/C10+F32</f>
        <v/>
      </c>
      <c r="H32" s="25">
        <f>C32-G32</f>
        <v/>
      </c>
      <c r="I32" s="25">
        <f>C5+(E32/1000)/C8</f>
        <v/>
      </c>
    </row>
    <row r="33" ht="12.95" customHeight="1" s="44">
      <c r="B33" s="27">
        <f>(7/80*(C6+C7))</f>
        <v/>
      </c>
      <c r="C33" s="27">
        <f>IF(MOD((7/80*(C6+C7)),(C6+C7))&lt;C6,C4,C5)</f>
        <v/>
      </c>
      <c r="D33" s="27">
        <f>IF(MOD((7/80*(C6+C7)),(C6+C7))&lt;C6,0,-((C4*C8)-(C5*C8))/(C9*C8)*EXP(-(MOD((7/80*(C6+C7)),(C6+C7))-C6)/(C9*C8))*60)</f>
        <v/>
      </c>
      <c r="E33" s="28">
        <f>(IF(MOD((7/80*(C6+C7)),(C6+C7))&lt;C6,(C4*C8),(C5*C8)+((C4*C8)-(C5*C8))*EXP(-(MOD((7/80*(C6+C7)),(C6+C7))-C6)/(C9*C8))))*1000</f>
        <v/>
      </c>
      <c r="F33" s="27">
        <f>IF(AND(MOD((7/80*(C6+C7)),(C6+C7))&lt;C6,MOD((7/80*(C6+C7)),(C6+C7))&lt;C12),-ABS(C11)*SIN(PI()*MOD((7/80*(C6+C7)),(C6+C7))/C12),0)</f>
        <v/>
      </c>
      <c r="G33" s="27">
        <f>C5*(C10/(C8+C10))+(E33/1000)/C10+F33</f>
        <v/>
      </c>
      <c r="H33" s="27">
        <f>C33-G33</f>
        <v/>
      </c>
      <c r="I33" s="27">
        <f>C5+(E33/1000)/C8</f>
        <v/>
      </c>
    </row>
    <row r="34" ht="12.95" customHeight="1" s="44">
      <c r="B34" s="25">
        <f>(8/80*(C6+C7))</f>
        <v/>
      </c>
      <c r="C34" s="25">
        <f>IF(MOD((8/80*(C6+C7)),(C6+C7))&lt;C6,C4,C5)</f>
        <v/>
      </c>
      <c r="D34" s="25">
        <f>IF(MOD((8/80*(C6+C7)),(C6+C7))&lt;C6,0,-((C4*C8)-(C5*C8))/(C9*C8)*EXP(-(MOD((8/80*(C6+C7)),(C6+C7))-C6)/(C9*C8))*60)</f>
        <v/>
      </c>
      <c r="E34" s="26">
        <f>(IF(MOD((8/80*(C6+C7)),(C6+C7))&lt;C6,(C4*C8),(C5*C8)+((C4*C8)-(C5*C8))*EXP(-(MOD((8/80*(C6+C7)),(C6+C7))-C6)/(C9*C8))))*1000</f>
        <v/>
      </c>
      <c r="F34" s="25">
        <f>IF(AND(MOD((8/80*(C6+C7)),(C6+C7))&lt;C6,MOD((8/80*(C6+C7)),(C6+C7))&lt;C12),-ABS(C11)*SIN(PI()*MOD((8/80*(C6+C7)),(C6+C7))/C12),0)</f>
        <v/>
      </c>
      <c r="G34" s="25">
        <f>C5*(C10/(C8+C10))+(E34/1000)/C10+F34</f>
        <v/>
      </c>
      <c r="H34" s="25">
        <f>C34-G34</f>
        <v/>
      </c>
      <c r="I34" s="25">
        <f>C5+(E34/1000)/C8</f>
        <v/>
      </c>
    </row>
    <row r="35" ht="12.95" customHeight="1" s="44">
      <c r="B35" s="27">
        <f>(9/80*(C6+C7))</f>
        <v/>
      </c>
      <c r="C35" s="27">
        <f>IF(MOD((9/80*(C6+C7)),(C6+C7))&lt;C6,C4,C5)</f>
        <v/>
      </c>
      <c r="D35" s="27">
        <f>IF(MOD((9/80*(C6+C7)),(C6+C7))&lt;C6,0,-((C4*C8)-(C5*C8))/(C9*C8)*EXP(-(MOD((9/80*(C6+C7)),(C6+C7))-C6)/(C9*C8))*60)</f>
        <v/>
      </c>
      <c r="E35" s="28">
        <f>(IF(MOD((9/80*(C6+C7)),(C6+C7))&lt;C6,(C4*C8),(C5*C8)+((C4*C8)-(C5*C8))*EXP(-(MOD((9/80*(C6+C7)),(C6+C7))-C6)/(C9*C8))))*1000</f>
        <v/>
      </c>
      <c r="F35" s="27">
        <f>IF(AND(MOD((9/80*(C6+C7)),(C6+C7))&lt;C6,MOD((9/80*(C6+C7)),(C6+C7))&lt;C12),-ABS(C11)*SIN(PI()*MOD((9/80*(C6+C7)),(C6+C7))/C12),0)</f>
        <v/>
      </c>
      <c r="G35" s="27">
        <f>C5*(C10/(C8+C10))+(E35/1000)/C10+F35</f>
        <v/>
      </c>
      <c r="H35" s="27">
        <f>C35-G35</f>
        <v/>
      </c>
      <c r="I35" s="27">
        <f>C5+(E35/1000)/C8</f>
        <v/>
      </c>
    </row>
    <row r="36" ht="12.95" customHeight="1" s="44">
      <c r="B36" s="25">
        <f>(10/80*(C6+C7))</f>
        <v/>
      </c>
      <c r="C36" s="25">
        <f>IF(MOD((10/80*(C6+C7)),(C6+C7))&lt;C6,C4,C5)</f>
        <v/>
      </c>
      <c r="D36" s="25">
        <f>IF(MOD((10/80*(C6+C7)),(C6+C7))&lt;C6,0,-((C4*C8)-(C5*C8))/(C9*C8)*EXP(-(MOD((10/80*(C6+C7)),(C6+C7))-C6)/(C9*C8))*60)</f>
        <v/>
      </c>
      <c r="E36" s="26">
        <f>(IF(MOD((10/80*(C6+C7)),(C6+C7))&lt;C6,(C4*C8),(C5*C8)+((C4*C8)-(C5*C8))*EXP(-(MOD((10/80*(C6+C7)),(C6+C7))-C6)/(C9*C8))))*1000</f>
        <v/>
      </c>
      <c r="F36" s="25">
        <f>IF(AND(MOD((10/80*(C6+C7)),(C6+C7))&lt;C6,MOD((10/80*(C6+C7)),(C6+C7))&lt;C12),-ABS(C11)*SIN(PI()*MOD((10/80*(C6+C7)),(C6+C7))/C12),0)</f>
        <v/>
      </c>
      <c r="G36" s="25">
        <f>C5*(C10/(C8+C10))+(E36/1000)/C10+F36</f>
        <v/>
      </c>
      <c r="H36" s="25">
        <f>C36-G36</f>
        <v/>
      </c>
      <c r="I36" s="25">
        <f>C5+(E36/1000)/C8</f>
        <v/>
      </c>
    </row>
    <row r="37" ht="12.95" customHeight="1" s="44">
      <c r="B37" s="27">
        <f>(11/80*(C6+C7))</f>
        <v/>
      </c>
      <c r="C37" s="27">
        <f>IF(MOD((11/80*(C6+C7)),(C6+C7))&lt;C6,C4,C5)</f>
        <v/>
      </c>
      <c r="D37" s="27">
        <f>IF(MOD((11/80*(C6+C7)),(C6+C7))&lt;C6,0,-((C4*C8)-(C5*C8))/(C9*C8)*EXP(-(MOD((11/80*(C6+C7)),(C6+C7))-C6)/(C9*C8))*60)</f>
        <v/>
      </c>
      <c r="E37" s="28">
        <f>(IF(MOD((11/80*(C6+C7)),(C6+C7))&lt;C6,(C4*C8),(C5*C8)+((C4*C8)-(C5*C8))*EXP(-(MOD((11/80*(C6+C7)),(C6+C7))-C6)/(C9*C8))))*1000</f>
        <v/>
      </c>
      <c r="F37" s="27">
        <f>IF(AND(MOD((11/80*(C6+C7)),(C6+C7))&lt;C6,MOD((11/80*(C6+C7)),(C6+C7))&lt;C12),-ABS(C11)*SIN(PI()*MOD((11/80*(C6+C7)),(C6+C7))/C12),0)</f>
        <v/>
      </c>
      <c r="G37" s="27">
        <f>C5*(C10/(C8+C10))+(E37/1000)/C10+F37</f>
        <v/>
      </c>
      <c r="H37" s="27">
        <f>C37-G37</f>
        <v/>
      </c>
      <c r="I37" s="27">
        <f>C5+(E37/1000)/C8</f>
        <v/>
      </c>
    </row>
    <row r="38" ht="12.95" customHeight="1" s="44">
      <c r="B38" s="25">
        <f>(12/80*(C6+C7))</f>
        <v/>
      </c>
      <c r="C38" s="25">
        <f>IF(MOD((12/80*(C6+C7)),(C6+C7))&lt;C6,C4,C5)</f>
        <v/>
      </c>
      <c r="D38" s="25">
        <f>IF(MOD((12/80*(C6+C7)),(C6+C7))&lt;C6,0,-((C4*C8)-(C5*C8))/(C9*C8)*EXP(-(MOD((12/80*(C6+C7)),(C6+C7))-C6)/(C9*C8))*60)</f>
        <v/>
      </c>
      <c r="E38" s="26">
        <f>(IF(MOD((12/80*(C6+C7)),(C6+C7))&lt;C6,(C4*C8),(C5*C8)+((C4*C8)-(C5*C8))*EXP(-(MOD((12/80*(C6+C7)),(C6+C7))-C6)/(C9*C8))))*1000</f>
        <v/>
      </c>
      <c r="F38" s="25">
        <f>IF(AND(MOD((12/80*(C6+C7)),(C6+C7))&lt;C6,MOD((12/80*(C6+C7)),(C6+C7))&lt;C12),-ABS(C11)*SIN(PI()*MOD((12/80*(C6+C7)),(C6+C7))/C12),0)</f>
        <v/>
      </c>
      <c r="G38" s="25">
        <f>C5*(C10/(C8+C10))+(E38/1000)/C10+F38</f>
        <v/>
      </c>
      <c r="H38" s="25">
        <f>C38-G38</f>
        <v/>
      </c>
      <c r="I38" s="25">
        <f>C5+(E38/1000)/C8</f>
        <v/>
      </c>
    </row>
    <row r="39" ht="12.95" customHeight="1" s="44">
      <c r="B39" s="27">
        <f>(13/80*(C6+C7))</f>
        <v/>
      </c>
      <c r="C39" s="27">
        <f>IF(MOD((13/80*(C6+C7)),(C6+C7))&lt;C6,C4,C5)</f>
        <v/>
      </c>
      <c r="D39" s="27">
        <f>IF(MOD((13/80*(C6+C7)),(C6+C7))&lt;C6,0,-((C4*C8)-(C5*C8))/(C9*C8)*EXP(-(MOD((13/80*(C6+C7)),(C6+C7))-C6)/(C9*C8))*60)</f>
        <v/>
      </c>
      <c r="E39" s="28">
        <f>(IF(MOD((13/80*(C6+C7)),(C6+C7))&lt;C6,(C4*C8),(C5*C8)+((C4*C8)-(C5*C8))*EXP(-(MOD((13/80*(C6+C7)),(C6+C7))-C6)/(C9*C8))))*1000</f>
        <v/>
      </c>
      <c r="F39" s="27">
        <f>IF(AND(MOD((13/80*(C6+C7)),(C6+C7))&lt;C6,MOD((13/80*(C6+C7)),(C6+C7))&lt;C12),-ABS(C11)*SIN(PI()*MOD((13/80*(C6+C7)),(C6+C7))/C12),0)</f>
        <v/>
      </c>
      <c r="G39" s="27">
        <f>C5*(C10/(C8+C10))+(E39/1000)/C10+F39</f>
        <v/>
      </c>
      <c r="H39" s="27">
        <f>C39-G39</f>
        <v/>
      </c>
      <c r="I39" s="27">
        <f>C5+(E39/1000)/C8</f>
        <v/>
      </c>
    </row>
    <row r="40" ht="12.95" customHeight="1" s="44">
      <c r="B40" s="25">
        <f>(14/80*(C6+C7))</f>
        <v/>
      </c>
      <c r="C40" s="25">
        <f>IF(MOD((14/80*(C6+C7)),(C6+C7))&lt;C6,C4,C5)</f>
        <v/>
      </c>
      <c r="D40" s="25">
        <f>IF(MOD((14/80*(C6+C7)),(C6+C7))&lt;C6,0,-((C4*C8)-(C5*C8))/(C9*C8)*EXP(-(MOD((14/80*(C6+C7)),(C6+C7))-C6)/(C9*C8))*60)</f>
        <v/>
      </c>
      <c r="E40" s="26">
        <f>(IF(MOD((14/80*(C6+C7)),(C6+C7))&lt;C6,(C4*C8),(C5*C8)+((C4*C8)-(C5*C8))*EXP(-(MOD((14/80*(C6+C7)),(C6+C7))-C6)/(C9*C8))))*1000</f>
        <v/>
      </c>
      <c r="F40" s="25">
        <f>IF(AND(MOD((14/80*(C6+C7)),(C6+C7))&lt;C6,MOD((14/80*(C6+C7)),(C6+C7))&lt;C12),-ABS(C11)*SIN(PI()*MOD((14/80*(C6+C7)),(C6+C7))/C12),0)</f>
        <v/>
      </c>
      <c r="G40" s="25">
        <f>C5*(C10/(C8+C10))+(E40/1000)/C10+F40</f>
        <v/>
      </c>
      <c r="H40" s="25">
        <f>C40-G40</f>
        <v/>
      </c>
      <c r="I40" s="25">
        <f>C5+(E40/1000)/C8</f>
        <v/>
      </c>
    </row>
    <row r="41" ht="12.95" customHeight="1" s="44">
      <c r="B41" s="27">
        <f>(15/80*(C6+C7))</f>
        <v/>
      </c>
      <c r="C41" s="27">
        <f>IF(MOD((15/80*(C6+C7)),(C6+C7))&lt;C6,C4,C5)</f>
        <v/>
      </c>
      <c r="D41" s="27">
        <f>IF(MOD((15/80*(C6+C7)),(C6+C7))&lt;C6,0,-((C4*C8)-(C5*C8))/(C9*C8)*EXP(-(MOD((15/80*(C6+C7)),(C6+C7))-C6)/(C9*C8))*60)</f>
        <v/>
      </c>
      <c r="E41" s="28">
        <f>(IF(MOD((15/80*(C6+C7)),(C6+C7))&lt;C6,(C4*C8),(C5*C8)+((C4*C8)-(C5*C8))*EXP(-(MOD((15/80*(C6+C7)),(C6+C7))-C6)/(C9*C8))))*1000</f>
        <v/>
      </c>
      <c r="F41" s="27">
        <f>IF(AND(MOD((15/80*(C6+C7)),(C6+C7))&lt;C6,MOD((15/80*(C6+C7)),(C6+C7))&lt;C12),-ABS(C11)*SIN(PI()*MOD((15/80*(C6+C7)),(C6+C7))/C12),0)</f>
        <v/>
      </c>
      <c r="G41" s="27">
        <f>C5*(C10/(C8+C10))+(E41/1000)/C10+F41</f>
        <v/>
      </c>
      <c r="H41" s="27">
        <f>C41-G41</f>
        <v/>
      </c>
      <c r="I41" s="27">
        <f>C5+(E41/1000)/C8</f>
        <v/>
      </c>
    </row>
    <row r="42" ht="12.95" customHeight="1" s="44">
      <c r="B42" s="25">
        <f>(16/80*(C6+C7))</f>
        <v/>
      </c>
      <c r="C42" s="25">
        <f>IF(MOD((16/80*(C6+C7)),(C6+C7))&lt;C6,C4,C5)</f>
        <v/>
      </c>
      <c r="D42" s="25">
        <f>IF(MOD((16/80*(C6+C7)),(C6+C7))&lt;C6,0,-((C4*C8)-(C5*C8))/(C9*C8)*EXP(-(MOD((16/80*(C6+C7)),(C6+C7))-C6)/(C9*C8))*60)</f>
        <v/>
      </c>
      <c r="E42" s="26">
        <f>(IF(MOD((16/80*(C6+C7)),(C6+C7))&lt;C6,(C4*C8),(C5*C8)+((C4*C8)-(C5*C8))*EXP(-(MOD((16/80*(C6+C7)),(C6+C7))-C6)/(C9*C8))))*1000</f>
        <v/>
      </c>
      <c r="F42" s="25">
        <f>IF(AND(MOD((16/80*(C6+C7)),(C6+C7))&lt;C6,MOD((16/80*(C6+C7)),(C6+C7))&lt;C12),-ABS(C11)*SIN(PI()*MOD((16/80*(C6+C7)),(C6+C7))/C12),0)</f>
        <v/>
      </c>
      <c r="G42" s="25">
        <f>C5*(C10/(C8+C10))+(E42/1000)/C10+F42</f>
        <v/>
      </c>
      <c r="H42" s="25">
        <f>C42-G42</f>
        <v/>
      </c>
      <c r="I42" s="25">
        <f>C5+(E42/1000)/C8</f>
        <v/>
      </c>
    </row>
    <row r="43" ht="12.95" customHeight="1" s="44">
      <c r="B43" s="27">
        <f>(17/80*(C6+C7))</f>
        <v/>
      </c>
      <c r="C43" s="27">
        <f>IF(MOD((17/80*(C6+C7)),(C6+C7))&lt;C6,C4,C5)</f>
        <v/>
      </c>
      <c r="D43" s="27">
        <f>IF(MOD((17/80*(C6+C7)),(C6+C7))&lt;C6,0,-((C4*C8)-(C5*C8))/(C9*C8)*EXP(-(MOD((17/80*(C6+C7)),(C6+C7))-C6)/(C9*C8))*60)</f>
        <v/>
      </c>
      <c r="E43" s="28">
        <f>(IF(MOD((17/80*(C6+C7)),(C6+C7))&lt;C6,(C4*C8),(C5*C8)+((C4*C8)-(C5*C8))*EXP(-(MOD((17/80*(C6+C7)),(C6+C7))-C6)/(C9*C8))))*1000</f>
        <v/>
      </c>
      <c r="F43" s="27">
        <f>IF(AND(MOD((17/80*(C6+C7)),(C6+C7))&lt;C6,MOD((17/80*(C6+C7)),(C6+C7))&lt;C12),-ABS(C11)*SIN(PI()*MOD((17/80*(C6+C7)),(C6+C7))/C12),0)</f>
        <v/>
      </c>
      <c r="G43" s="27">
        <f>C5*(C10/(C8+C10))+(E43/1000)/C10+F43</f>
        <v/>
      </c>
      <c r="H43" s="27">
        <f>C43-G43</f>
        <v/>
      </c>
      <c r="I43" s="27">
        <f>C5+(E43/1000)/C8</f>
        <v/>
      </c>
    </row>
    <row r="44" ht="12.95" customHeight="1" s="44">
      <c r="B44" s="25">
        <f>(18/80*(C6+C7))</f>
        <v/>
      </c>
      <c r="C44" s="25">
        <f>IF(MOD((18/80*(C6+C7)),(C6+C7))&lt;C6,C4,C5)</f>
        <v/>
      </c>
      <c r="D44" s="25">
        <f>IF(MOD((18/80*(C6+C7)),(C6+C7))&lt;C6,0,-((C4*C8)-(C5*C8))/(C9*C8)*EXP(-(MOD((18/80*(C6+C7)),(C6+C7))-C6)/(C9*C8))*60)</f>
        <v/>
      </c>
      <c r="E44" s="26">
        <f>(IF(MOD((18/80*(C6+C7)),(C6+C7))&lt;C6,(C4*C8),(C5*C8)+((C4*C8)-(C5*C8))*EXP(-(MOD((18/80*(C6+C7)),(C6+C7))-C6)/(C9*C8))))*1000</f>
        <v/>
      </c>
      <c r="F44" s="25">
        <f>IF(AND(MOD((18/80*(C6+C7)),(C6+C7))&lt;C6,MOD((18/80*(C6+C7)),(C6+C7))&lt;C12),-ABS(C11)*SIN(PI()*MOD((18/80*(C6+C7)),(C6+C7))/C12),0)</f>
        <v/>
      </c>
      <c r="G44" s="25">
        <f>C5*(C10/(C8+C10))+(E44/1000)/C10+F44</f>
        <v/>
      </c>
      <c r="H44" s="25">
        <f>C44-G44</f>
        <v/>
      </c>
      <c r="I44" s="25">
        <f>C5+(E44/1000)/C8</f>
        <v/>
      </c>
    </row>
    <row r="45" ht="12.95" customHeight="1" s="44">
      <c r="B45" s="27">
        <f>(19/80*(C6+C7))</f>
        <v/>
      </c>
      <c r="C45" s="27">
        <f>IF(MOD((19/80*(C6+C7)),(C6+C7))&lt;C6,C4,C5)</f>
        <v/>
      </c>
      <c r="D45" s="27">
        <f>IF(MOD((19/80*(C6+C7)),(C6+C7))&lt;C6,0,-((C4*C8)-(C5*C8))/(C9*C8)*EXP(-(MOD((19/80*(C6+C7)),(C6+C7))-C6)/(C9*C8))*60)</f>
        <v/>
      </c>
      <c r="E45" s="28">
        <f>(IF(MOD((19/80*(C6+C7)),(C6+C7))&lt;C6,(C4*C8),(C5*C8)+((C4*C8)-(C5*C8))*EXP(-(MOD((19/80*(C6+C7)),(C6+C7))-C6)/(C9*C8))))*1000</f>
        <v/>
      </c>
      <c r="F45" s="27">
        <f>IF(AND(MOD((19/80*(C6+C7)),(C6+C7))&lt;C6,MOD((19/80*(C6+C7)),(C6+C7))&lt;C12),-ABS(C11)*SIN(PI()*MOD((19/80*(C6+C7)),(C6+C7))/C12),0)</f>
        <v/>
      </c>
      <c r="G45" s="27">
        <f>C5*(C10/(C8+C10))+(E45/1000)/C10+F45</f>
        <v/>
      </c>
      <c r="H45" s="27">
        <f>C45-G45</f>
        <v/>
      </c>
      <c r="I45" s="27">
        <f>C5+(E45/1000)/C8</f>
        <v/>
      </c>
    </row>
    <row r="46" ht="12.95" customHeight="1" s="44">
      <c r="B46" s="25">
        <f>(20/80*(C6+C7))</f>
        <v/>
      </c>
      <c r="C46" s="25">
        <f>IF(MOD((20/80*(C6+C7)),(C6+C7))&lt;C6,C4,C5)</f>
        <v/>
      </c>
      <c r="D46" s="25">
        <f>IF(MOD((20/80*(C6+C7)),(C6+C7))&lt;C6,0,-((C4*C8)-(C5*C8))/(C9*C8)*EXP(-(MOD((20/80*(C6+C7)),(C6+C7))-C6)/(C9*C8))*60)</f>
        <v/>
      </c>
      <c r="E46" s="26">
        <f>(IF(MOD((20/80*(C6+C7)),(C6+C7))&lt;C6,(C4*C8),(C5*C8)+((C4*C8)-(C5*C8))*EXP(-(MOD((20/80*(C6+C7)),(C6+C7))-C6)/(C9*C8))))*1000</f>
        <v/>
      </c>
      <c r="F46" s="25">
        <f>IF(AND(MOD((20/80*(C6+C7)),(C6+C7))&lt;C6,MOD((20/80*(C6+C7)),(C6+C7))&lt;C12),-ABS(C11)*SIN(PI()*MOD((20/80*(C6+C7)),(C6+C7))/C12),0)</f>
        <v/>
      </c>
      <c r="G46" s="25">
        <f>C5*(C10/(C8+C10))+(E46/1000)/C10+F46</f>
        <v/>
      </c>
      <c r="H46" s="25">
        <f>C46-G46</f>
        <v/>
      </c>
      <c r="I46" s="25">
        <f>C5+(E46/1000)/C8</f>
        <v/>
      </c>
    </row>
    <row r="47" ht="12.95" customHeight="1" s="44">
      <c r="B47" s="27">
        <f>(21/80*(C6+C7))</f>
        <v/>
      </c>
      <c r="C47" s="27">
        <f>IF(MOD((21/80*(C6+C7)),(C6+C7))&lt;C6,C4,C5)</f>
        <v/>
      </c>
      <c r="D47" s="27">
        <f>IF(MOD((21/80*(C6+C7)),(C6+C7))&lt;C6,0,-((C4*C8)-(C5*C8))/(C9*C8)*EXP(-(MOD((21/80*(C6+C7)),(C6+C7))-C6)/(C9*C8))*60)</f>
        <v/>
      </c>
      <c r="E47" s="28">
        <f>(IF(MOD((21/80*(C6+C7)),(C6+C7))&lt;C6,(C4*C8),(C5*C8)+((C4*C8)-(C5*C8))*EXP(-(MOD((21/80*(C6+C7)),(C6+C7))-C6)/(C9*C8))))*1000</f>
        <v/>
      </c>
      <c r="F47" s="27">
        <f>IF(AND(MOD((21/80*(C6+C7)),(C6+C7))&lt;C6,MOD((21/80*(C6+C7)),(C6+C7))&lt;C12),-ABS(C11)*SIN(PI()*MOD((21/80*(C6+C7)),(C6+C7))/C12),0)</f>
        <v/>
      </c>
      <c r="G47" s="27">
        <f>C5*(C10/(C8+C10))+(E47/1000)/C10+F47</f>
        <v/>
      </c>
      <c r="H47" s="27">
        <f>C47-G47</f>
        <v/>
      </c>
      <c r="I47" s="27">
        <f>C5+(E47/1000)/C8</f>
        <v/>
      </c>
    </row>
    <row r="48" ht="12.95" customHeight="1" s="44">
      <c r="B48" s="25">
        <f>(22/80*(C6+C7))</f>
        <v/>
      </c>
      <c r="C48" s="25">
        <f>IF(MOD((22/80*(C6+C7)),(C6+C7))&lt;C6,C4,C5)</f>
        <v/>
      </c>
      <c r="D48" s="25">
        <f>IF(MOD((22/80*(C6+C7)),(C6+C7))&lt;C6,0,-((C4*C8)-(C5*C8))/(C9*C8)*EXP(-(MOD((22/80*(C6+C7)),(C6+C7))-C6)/(C9*C8))*60)</f>
        <v/>
      </c>
      <c r="E48" s="26">
        <f>(IF(MOD((22/80*(C6+C7)),(C6+C7))&lt;C6,(C4*C8),(C5*C8)+((C4*C8)-(C5*C8))*EXP(-(MOD((22/80*(C6+C7)),(C6+C7))-C6)/(C9*C8))))*1000</f>
        <v/>
      </c>
      <c r="F48" s="25">
        <f>IF(AND(MOD((22/80*(C6+C7)),(C6+C7))&lt;C6,MOD((22/80*(C6+C7)),(C6+C7))&lt;C12),-ABS(C11)*SIN(PI()*MOD((22/80*(C6+C7)),(C6+C7))/C12),0)</f>
        <v/>
      </c>
      <c r="G48" s="25">
        <f>C5*(C10/(C8+C10))+(E48/1000)/C10+F48</f>
        <v/>
      </c>
      <c r="H48" s="25">
        <f>C48-G48</f>
        <v/>
      </c>
      <c r="I48" s="25">
        <f>C5+(E48/1000)/C8</f>
        <v/>
      </c>
    </row>
    <row r="49" ht="12.95" customHeight="1" s="44">
      <c r="B49" s="27">
        <f>(23/80*(C6+C7))</f>
        <v/>
      </c>
      <c r="C49" s="27">
        <f>IF(MOD((23/80*(C6+C7)),(C6+C7))&lt;C6,C4,C5)</f>
        <v/>
      </c>
      <c r="D49" s="27">
        <f>IF(MOD((23/80*(C6+C7)),(C6+C7))&lt;C6,0,-((C4*C8)-(C5*C8))/(C9*C8)*EXP(-(MOD((23/80*(C6+C7)),(C6+C7))-C6)/(C9*C8))*60)</f>
        <v/>
      </c>
      <c r="E49" s="28">
        <f>(IF(MOD((23/80*(C6+C7)),(C6+C7))&lt;C6,(C4*C8),(C5*C8)+((C4*C8)-(C5*C8))*EXP(-(MOD((23/80*(C6+C7)),(C6+C7))-C6)/(C9*C8))))*1000</f>
        <v/>
      </c>
      <c r="F49" s="27">
        <f>IF(AND(MOD((23/80*(C6+C7)),(C6+C7))&lt;C6,MOD((23/80*(C6+C7)),(C6+C7))&lt;C12),-ABS(C11)*SIN(PI()*MOD((23/80*(C6+C7)),(C6+C7))/C12),0)</f>
        <v/>
      </c>
      <c r="G49" s="27">
        <f>C5*(C10/(C8+C10))+(E49/1000)/C10+F49</f>
        <v/>
      </c>
      <c r="H49" s="27">
        <f>C49-G49</f>
        <v/>
      </c>
      <c r="I49" s="27">
        <f>C5+(E49/1000)/C8</f>
        <v/>
      </c>
    </row>
    <row r="50" ht="12.95" customHeight="1" s="44">
      <c r="B50" s="25">
        <f>(24/80*(C6+C7))</f>
        <v/>
      </c>
      <c r="C50" s="25">
        <f>IF(MOD((24/80*(C6+C7)),(C6+C7))&lt;C6,C4,C5)</f>
        <v/>
      </c>
      <c r="D50" s="25">
        <f>IF(MOD((24/80*(C6+C7)),(C6+C7))&lt;C6,0,-((C4*C8)-(C5*C8))/(C9*C8)*EXP(-(MOD((24/80*(C6+C7)),(C6+C7))-C6)/(C9*C8))*60)</f>
        <v/>
      </c>
      <c r="E50" s="26">
        <f>(IF(MOD((24/80*(C6+C7)),(C6+C7))&lt;C6,(C4*C8),(C5*C8)+((C4*C8)-(C5*C8))*EXP(-(MOD((24/80*(C6+C7)),(C6+C7))-C6)/(C9*C8))))*1000</f>
        <v/>
      </c>
      <c r="F50" s="25">
        <f>IF(AND(MOD((24/80*(C6+C7)),(C6+C7))&lt;C6,MOD((24/80*(C6+C7)),(C6+C7))&lt;C12),-ABS(C11)*SIN(PI()*MOD((24/80*(C6+C7)),(C6+C7))/C12),0)</f>
        <v/>
      </c>
      <c r="G50" s="25">
        <f>C5*(C10/(C8+C10))+(E50/1000)/C10+F50</f>
        <v/>
      </c>
      <c r="H50" s="25">
        <f>C50-G50</f>
        <v/>
      </c>
      <c r="I50" s="25">
        <f>C5+(E50/1000)/C8</f>
        <v/>
      </c>
    </row>
    <row r="51" ht="12.95" customHeight="1" s="44">
      <c r="B51" s="27">
        <f>(25/80*(C6+C7))</f>
        <v/>
      </c>
      <c r="C51" s="27">
        <f>IF(MOD((25/80*(C6+C7)),(C6+C7))&lt;C6,C4,C5)</f>
        <v/>
      </c>
      <c r="D51" s="27">
        <f>IF(MOD((25/80*(C6+C7)),(C6+C7))&lt;C6,0,-((C4*C8)-(C5*C8))/(C9*C8)*EXP(-(MOD((25/80*(C6+C7)),(C6+C7))-C6)/(C9*C8))*60)</f>
        <v/>
      </c>
      <c r="E51" s="28">
        <f>(IF(MOD((25/80*(C6+C7)),(C6+C7))&lt;C6,(C4*C8),(C5*C8)+((C4*C8)-(C5*C8))*EXP(-(MOD((25/80*(C6+C7)),(C6+C7))-C6)/(C9*C8))))*1000</f>
        <v/>
      </c>
      <c r="F51" s="27">
        <f>IF(AND(MOD((25/80*(C6+C7)),(C6+C7))&lt;C6,MOD((25/80*(C6+C7)),(C6+C7))&lt;C12),-ABS(C11)*SIN(PI()*MOD((25/80*(C6+C7)),(C6+C7))/C12),0)</f>
        <v/>
      </c>
      <c r="G51" s="27">
        <f>C5*(C10/(C8+C10))+(E51/1000)/C10+F51</f>
        <v/>
      </c>
      <c r="H51" s="27">
        <f>C51-G51</f>
        <v/>
      </c>
      <c r="I51" s="27">
        <f>C5+(E51/1000)/C8</f>
        <v/>
      </c>
    </row>
    <row r="52" ht="12.95" customHeight="1" s="44">
      <c r="B52" s="25">
        <f>(26/80*(C6+C7))</f>
        <v/>
      </c>
      <c r="C52" s="25">
        <f>IF(MOD((26/80*(C6+C7)),(C6+C7))&lt;C6,C4,C5)</f>
        <v/>
      </c>
      <c r="D52" s="25">
        <f>IF(MOD((26/80*(C6+C7)),(C6+C7))&lt;C6,0,-((C4*C8)-(C5*C8))/(C9*C8)*EXP(-(MOD((26/80*(C6+C7)),(C6+C7))-C6)/(C9*C8))*60)</f>
        <v/>
      </c>
      <c r="E52" s="26">
        <f>(IF(MOD((26/80*(C6+C7)),(C6+C7))&lt;C6,(C4*C8),(C5*C8)+((C4*C8)-(C5*C8))*EXP(-(MOD((26/80*(C6+C7)),(C6+C7))-C6)/(C9*C8))))*1000</f>
        <v/>
      </c>
      <c r="F52" s="25">
        <f>IF(AND(MOD((26/80*(C6+C7)),(C6+C7))&lt;C6,MOD((26/80*(C6+C7)),(C6+C7))&lt;C12),-ABS(C11)*SIN(PI()*MOD((26/80*(C6+C7)),(C6+C7))/C12),0)</f>
        <v/>
      </c>
      <c r="G52" s="25">
        <f>C5*(C10/(C8+C10))+(E52/1000)/C10+F52</f>
        <v/>
      </c>
      <c r="H52" s="25">
        <f>C52-G52</f>
        <v/>
      </c>
      <c r="I52" s="25">
        <f>C5+(E52/1000)/C8</f>
        <v/>
      </c>
    </row>
    <row r="53" ht="12.95" customHeight="1" s="44">
      <c r="B53" s="27">
        <f>(27/80*(C6+C7))</f>
        <v/>
      </c>
      <c r="C53" s="27">
        <f>IF(MOD((27/80*(C6+C7)),(C6+C7))&lt;C6,C4,C5)</f>
        <v/>
      </c>
      <c r="D53" s="27">
        <f>IF(MOD((27/80*(C6+C7)),(C6+C7))&lt;C6,0,-((C4*C8)-(C5*C8))/(C9*C8)*EXP(-(MOD((27/80*(C6+C7)),(C6+C7))-C6)/(C9*C8))*60)</f>
        <v/>
      </c>
      <c r="E53" s="28">
        <f>(IF(MOD((27/80*(C6+C7)),(C6+C7))&lt;C6,(C4*C8),(C5*C8)+((C4*C8)-(C5*C8))*EXP(-(MOD((27/80*(C6+C7)),(C6+C7))-C6)/(C9*C8))))*1000</f>
        <v/>
      </c>
      <c r="F53" s="27">
        <f>IF(AND(MOD((27/80*(C6+C7)),(C6+C7))&lt;C6,MOD((27/80*(C6+C7)),(C6+C7))&lt;C12),-ABS(C11)*SIN(PI()*MOD((27/80*(C6+C7)),(C6+C7))/C12),0)</f>
        <v/>
      </c>
      <c r="G53" s="27">
        <f>C5*(C10/(C8+C10))+(E53/1000)/C10+F53</f>
        <v/>
      </c>
      <c r="H53" s="27">
        <f>C53-G53</f>
        <v/>
      </c>
      <c r="I53" s="27">
        <f>C5+(E53/1000)/C8</f>
        <v/>
      </c>
    </row>
    <row r="54" ht="12.95" customHeight="1" s="44">
      <c r="B54" s="25">
        <f>(28/80*(C6+C7))</f>
        <v/>
      </c>
      <c r="C54" s="25">
        <f>IF(MOD((28/80*(C6+C7)),(C6+C7))&lt;C6,C4,C5)</f>
        <v/>
      </c>
      <c r="D54" s="25">
        <f>IF(MOD((28/80*(C6+C7)),(C6+C7))&lt;C6,0,-((C4*C8)-(C5*C8))/(C9*C8)*EXP(-(MOD((28/80*(C6+C7)),(C6+C7))-C6)/(C9*C8))*60)</f>
        <v/>
      </c>
      <c r="E54" s="26">
        <f>(IF(MOD((28/80*(C6+C7)),(C6+C7))&lt;C6,(C4*C8),(C5*C8)+((C4*C8)-(C5*C8))*EXP(-(MOD((28/80*(C6+C7)),(C6+C7))-C6)/(C9*C8))))*1000</f>
        <v/>
      </c>
      <c r="F54" s="25">
        <f>IF(AND(MOD((28/80*(C6+C7)),(C6+C7))&lt;C6,MOD((28/80*(C6+C7)),(C6+C7))&lt;C12),-ABS(C11)*SIN(PI()*MOD((28/80*(C6+C7)),(C6+C7))/C12),0)</f>
        <v/>
      </c>
      <c r="G54" s="25">
        <f>C5*(C10/(C8+C10))+(E54/1000)/C10+F54</f>
        <v/>
      </c>
      <c r="H54" s="25">
        <f>C54-G54</f>
        <v/>
      </c>
      <c r="I54" s="25">
        <f>C5+(E54/1000)/C8</f>
        <v/>
      </c>
    </row>
    <row r="55" ht="12.95" customHeight="1" s="44">
      <c r="B55" s="27">
        <f>(29/80*(C6+C7))</f>
        <v/>
      </c>
      <c r="C55" s="27">
        <f>IF(MOD((29/80*(C6+C7)),(C6+C7))&lt;C6,C4,C5)</f>
        <v/>
      </c>
      <c r="D55" s="27">
        <f>IF(MOD((29/80*(C6+C7)),(C6+C7))&lt;C6,0,-((C4*C8)-(C5*C8))/(C9*C8)*EXP(-(MOD((29/80*(C6+C7)),(C6+C7))-C6)/(C9*C8))*60)</f>
        <v/>
      </c>
      <c r="E55" s="28">
        <f>(IF(MOD((29/80*(C6+C7)),(C6+C7))&lt;C6,(C4*C8),(C5*C8)+((C4*C8)-(C5*C8))*EXP(-(MOD((29/80*(C6+C7)),(C6+C7))-C6)/(C9*C8))))*1000</f>
        <v/>
      </c>
      <c r="F55" s="27">
        <f>IF(AND(MOD((29/80*(C6+C7)),(C6+C7))&lt;C6,MOD((29/80*(C6+C7)),(C6+C7))&lt;C12),-ABS(C11)*SIN(PI()*MOD((29/80*(C6+C7)),(C6+C7))/C12),0)</f>
        <v/>
      </c>
      <c r="G55" s="27">
        <f>C5*(C10/(C8+C10))+(E55/1000)/C10+F55</f>
        <v/>
      </c>
      <c r="H55" s="27">
        <f>C55-G55</f>
        <v/>
      </c>
      <c r="I55" s="27">
        <f>C5+(E55/1000)/C8</f>
        <v/>
      </c>
    </row>
    <row r="56" ht="12.95" customHeight="1" s="44">
      <c r="B56" s="25">
        <f>(30/80*(C6+C7))</f>
        <v/>
      </c>
      <c r="C56" s="25">
        <f>IF(MOD((30/80*(C6+C7)),(C6+C7))&lt;C6,C4,C5)</f>
        <v/>
      </c>
      <c r="D56" s="25">
        <f>IF(MOD((30/80*(C6+C7)),(C6+C7))&lt;C6,0,-((C4*C8)-(C5*C8))/(C9*C8)*EXP(-(MOD((30/80*(C6+C7)),(C6+C7))-C6)/(C9*C8))*60)</f>
        <v/>
      </c>
      <c r="E56" s="26">
        <f>(IF(MOD((30/80*(C6+C7)),(C6+C7))&lt;C6,(C4*C8),(C5*C8)+((C4*C8)-(C5*C8))*EXP(-(MOD((30/80*(C6+C7)),(C6+C7))-C6)/(C9*C8))))*1000</f>
        <v/>
      </c>
      <c r="F56" s="25">
        <f>IF(AND(MOD((30/80*(C6+C7)),(C6+C7))&lt;C6,MOD((30/80*(C6+C7)),(C6+C7))&lt;C12),-ABS(C11)*SIN(PI()*MOD((30/80*(C6+C7)),(C6+C7))/C12),0)</f>
        <v/>
      </c>
      <c r="G56" s="25">
        <f>C5*(C10/(C8+C10))+(E56/1000)/C10+F56</f>
        <v/>
      </c>
      <c r="H56" s="25">
        <f>C56-G56</f>
        <v/>
      </c>
      <c r="I56" s="25">
        <f>C5+(E56/1000)/C8</f>
        <v/>
      </c>
    </row>
    <row r="57" ht="12.95" customHeight="1" s="44">
      <c r="B57" s="27">
        <f>(31/80*(C6+C7))</f>
        <v/>
      </c>
      <c r="C57" s="27">
        <f>IF(MOD((31/80*(C6+C7)),(C6+C7))&lt;C6,C4,C5)</f>
        <v/>
      </c>
      <c r="D57" s="27">
        <f>IF(MOD((31/80*(C6+C7)),(C6+C7))&lt;C6,0,-((C4*C8)-(C5*C8))/(C9*C8)*EXP(-(MOD((31/80*(C6+C7)),(C6+C7))-C6)/(C9*C8))*60)</f>
        <v/>
      </c>
      <c r="E57" s="28">
        <f>(IF(MOD((31/80*(C6+C7)),(C6+C7))&lt;C6,(C4*C8),(C5*C8)+((C4*C8)-(C5*C8))*EXP(-(MOD((31/80*(C6+C7)),(C6+C7))-C6)/(C9*C8))))*1000</f>
        <v/>
      </c>
      <c r="F57" s="27">
        <f>IF(AND(MOD((31/80*(C6+C7)),(C6+C7))&lt;C6,MOD((31/80*(C6+C7)),(C6+C7))&lt;C12),-ABS(C11)*SIN(PI()*MOD((31/80*(C6+C7)),(C6+C7))/C12),0)</f>
        <v/>
      </c>
      <c r="G57" s="27">
        <f>C5*(C10/(C8+C10))+(E57/1000)/C10+F57</f>
        <v/>
      </c>
      <c r="H57" s="27">
        <f>C57-G57</f>
        <v/>
      </c>
      <c r="I57" s="27">
        <f>C5+(E57/1000)/C8</f>
        <v/>
      </c>
    </row>
    <row r="58" ht="12.95" customHeight="1" s="44">
      <c r="B58" s="25">
        <f>(32/80*(C6+C7))</f>
        <v/>
      </c>
      <c r="C58" s="25">
        <f>IF(MOD((32/80*(C6+C7)),(C6+C7))&lt;C6,C4,C5)</f>
        <v/>
      </c>
      <c r="D58" s="25">
        <f>IF(MOD((32/80*(C6+C7)),(C6+C7))&lt;C6,0,-((C4*C8)-(C5*C8))/(C9*C8)*EXP(-(MOD((32/80*(C6+C7)),(C6+C7))-C6)/(C9*C8))*60)</f>
        <v/>
      </c>
      <c r="E58" s="26">
        <f>(IF(MOD((32/80*(C6+C7)),(C6+C7))&lt;C6,(C4*C8),(C5*C8)+((C4*C8)-(C5*C8))*EXP(-(MOD((32/80*(C6+C7)),(C6+C7))-C6)/(C9*C8))))*1000</f>
        <v/>
      </c>
      <c r="F58" s="25">
        <f>IF(AND(MOD((32/80*(C6+C7)),(C6+C7))&lt;C6,MOD((32/80*(C6+C7)),(C6+C7))&lt;C12),-ABS(C11)*SIN(PI()*MOD((32/80*(C6+C7)),(C6+C7))/C12),0)</f>
        <v/>
      </c>
      <c r="G58" s="25">
        <f>C5*(C10/(C8+C10))+(E58/1000)/C10+F58</f>
        <v/>
      </c>
      <c r="H58" s="25">
        <f>C58-G58</f>
        <v/>
      </c>
      <c r="I58" s="25">
        <f>C5+(E58/1000)/C8</f>
        <v/>
      </c>
    </row>
    <row r="59" ht="12.95" customHeight="1" s="44">
      <c r="B59" s="27">
        <f>(33/80*(C6+C7))</f>
        <v/>
      </c>
      <c r="C59" s="27">
        <f>IF(MOD((33/80*(C6+C7)),(C6+C7))&lt;C6,C4,C5)</f>
        <v/>
      </c>
      <c r="D59" s="27">
        <f>IF(MOD((33/80*(C6+C7)),(C6+C7))&lt;C6,0,-((C4*C8)-(C5*C8))/(C9*C8)*EXP(-(MOD((33/80*(C6+C7)),(C6+C7))-C6)/(C9*C8))*60)</f>
        <v/>
      </c>
      <c r="E59" s="28">
        <f>(IF(MOD((33/80*(C6+C7)),(C6+C7))&lt;C6,(C4*C8),(C5*C8)+((C4*C8)-(C5*C8))*EXP(-(MOD((33/80*(C6+C7)),(C6+C7))-C6)/(C9*C8))))*1000</f>
        <v/>
      </c>
      <c r="F59" s="27">
        <f>IF(AND(MOD((33/80*(C6+C7)),(C6+C7))&lt;C6,MOD((33/80*(C6+C7)),(C6+C7))&lt;C12),-ABS(C11)*SIN(PI()*MOD((33/80*(C6+C7)),(C6+C7))/C12),0)</f>
        <v/>
      </c>
      <c r="G59" s="27">
        <f>C5*(C10/(C8+C10))+(E59/1000)/C10+F59</f>
        <v/>
      </c>
      <c r="H59" s="27">
        <f>C59-G59</f>
        <v/>
      </c>
      <c r="I59" s="27">
        <f>C5+(E59/1000)/C8</f>
        <v/>
      </c>
    </row>
    <row r="60" ht="12.95" customHeight="1" s="44">
      <c r="B60" s="25">
        <f>(34/80*(C6+C7))</f>
        <v/>
      </c>
      <c r="C60" s="25">
        <f>IF(MOD((34/80*(C6+C7)),(C6+C7))&lt;C6,C4,C5)</f>
        <v/>
      </c>
      <c r="D60" s="25">
        <f>IF(MOD((34/80*(C6+C7)),(C6+C7))&lt;C6,0,-((C4*C8)-(C5*C8))/(C9*C8)*EXP(-(MOD((34/80*(C6+C7)),(C6+C7))-C6)/(C9*C8))*60)</f>
        <v/>
      </c>
      <c r="E60" s="26">
        <f>(IF(MOD((34/80*(C6+C7)),(C6+C7))&lt;C6,(C4*C8),(C5*C8)+((C4*C8)-(C5*C8))*EXP(-(MOD((34/80*(C6+C7)),(C6+C7))-C6)/(C9*C8))))*1000</f>
        <v/>
      </c>
      <c r="F60" s="25">
        <f>IF(AND(MOD((34/80*(C6+C7)),(C6+C7))&lt;C6,MOD((34/80*(C6+C7)),(C6+C7))&lt;C12),-ABS(C11)*SIN(PI()*MOD((34/80*(C6+C7)),(C6+C7))/C12),0)</f>
        <v/>
      </c>
      <c r="G60" s="25">
        <f>C5*(C10/(C8+C10))+(E60/1000)/C10+F60</f>
        <v/>
      </c>
      <c r="H60" s="25">
        <f>C60-G60</f>
        <v/>
      </c>
      <c r="I60" s="25">
        <f>C5+(E60/1000)/C8</f>
        <v/>
      </c>
    </row>
    <row r="61" ht="12.95" customHeight="1" s="44">
      <c r="B61" s="27">
        <f>(35/80*(C6+C7))</f>
        <v/>
      </c>
      <c r="C61" s="27">
        <f>IF(MOD((35/80*(C6+C7)),(C6+C7))&lt;C6,C4,C5)</f>
        <v/>
      </c>
      <c r="D61" s="27">
        <f>IF(MOD((35/80*(C6+C7)),(C6+C7))&lt;C6,0,-((C4*C8)-(C5*C8))/(C9*C8)*EXP(-(MOD((35/80*(C6+C7)),(C6+C7))-C6)/(C9*C8))*60)</f>
        <v/>
      </c>
      <c r="E61" s="28">
        <f>(IF(MOD((35/80*(C6+C7)),(C6+C7))&lt;C6,(C4*C8),(C5*C8)+((C4*C8)-(C5*C8))*EXP(-(MOD((35/80*(C6+C7)),(C6+C7))-C6)/(C9*C8))))*1000</f>
        <v/>
      </c>
      <c r="F61" s="27">
        <f>IF(AND(MOD((35/80*(C6+C7)),(C6+C7))&lt;C6,MOD((35/80*(C6+C7)),(C6+C7))&lt;C12),-ABS(C11)*SIN(PI()*MOD((35/80*(C6+C7)),(C6+C7))/C12),0)</f>
        <v/>
      </c>
      <c r="G61" s="27">
        <f>C5*(C10/(C8+C10))+(E61/1000)/C10+F61</f>
        <v/>
      </c>
      <c r="H61" s="27">
        <f>C61-G61</f>
        <v/>
      </c>
      <c r="I61" s="27">
        <f>C5+(E61/1000)/C8</f>
        <v/>
      </c>
    </row>
    <row r="62" ht="12.95" customHeight="1" s="44">
      <c r="B62" s="25">
        <f>(36/80*(C6+C7))</f>
        <v/>
      </c>
      <c r="C62" s="25">
        <f>IF(MOD((36/80*(C6+C7)),(C6+C7))&lt;C6,C4,C5)</f>
        <v/>
      </c>
      <c r="D62" s="25">
        <f>IF(MOD((36/80*(C6+C7)),(C6+C7))&lt;C6,0,-((C4*C8)-(C5*C8))/(C9*C8)*EXP(-(MOD((36/80*(C6+C7)),(C6+C7))-C6)/(C9*C8))*60)</f>
        <v/>
      </c>
      <c r="E62" s="26">
        <f>(IF(MOD((36/80*(C6+C7)),(C6+C7))&lt;C6,(C4*C8),(C5*C8)+((C4*C8)-(C5*C8))*EXP(-(MOD((36/80*(C6+C7)),(C6+C7))-C6)/(C9*C8))))*1000</f>
        <v/>
      </c>
      <c r="F62" s="25">
        <f>IF(AND(MOD((36/80*(C6+C7)),(C6+C7))&lt;C6,MOD((36/80*(C6+C7)),(C6+C7))&lt;C12),-ABS(C11)*SIN(PI()*MOD((36/80*(C6+C7)),(C6+C7))/C12),0)</f>
        <v/>
      </c>
      <c r="G62" s="25">
        <f>C5*(C10/(C8+C10))+(E62/1000)/C10+F62</f>
        <v/>
      </c>
      <c r="H62" s="25">
        <f>C62-G62</f>
        <v/>
      </c>
      <c r="I62" s="25">
        <f>C5+(E62/1000)/C8</f>
        <v/>
      </c>
    </row>
    <row r="63" ht="12.95" customHeight="1" s="44">
      <c r="B63" s="27">
        <f>(37/80*(C6+C7))</f>
        <v/>
      </c>
      <c r="C63" s="27">
        <f>IF(MOD((37/80*(C6+C7)),(C6+C7))&lt;C6,C4,C5)</f>
        <v/>
      </c>
      <c r="D63" s="27">
        <f>IF(MOD((37/80*(C6+C7)),(C6+C7))&lt;C6,0,-((C4*C8)-(C5*C8))/(C9*C8)*EXP(-(MOD((37/80*(C6+C7)),(C6+C7))-C6)/(C9*C8))*60)</f>
        <v/>
      </c>
      <c r="E63" s="28">
        <f>(IF(MOD((37/80*(C6+C7)),(C6+C7))&lt;C6,(C4*C8),(C5*C8)+((C4*C8)-(C5*C8))*EXP(-(MOD((37/80*(C6+C7)),(C6+C7))-C6)/(C9*C8))))*1000</f>
        <v/>
      </c>
      <c r="F63" s="27">
        <f>IF(AND(MOD((37/80*(C6+C7)),(C6+C7))&lt;C6,MOD((37/80*(C6+C7)),(C6+C7))&lt;C12),-ABS(C11)*SIN(PI()*MOD((37/80*(C6+C7)),(C6+C7))/C12),0)</f>
        <v/>
      </c>
      <c r="G63" s="27">
        <f>C5*(C10/(C8+C10))+(E63/1000)/C10+F63</f>
        <v/>
      </c>
      <c r="H63" s="27">
        <f>C63-G63</f>
        <v/>
      </c>
      <c r="I63" s="27">
        <f>C5+(E63/1000)/C8</f>
        <v/>
      </c>
    </row>
    <row r="64" ht="12.95" customHeight="1" s="44">
      <c r="B64" s="25">
        <f>(38/80*(C6+C7))</f>
        <v/>
      </c>
      <c r="C64" s="25">
        <f>IF(MOD((38/80*(C6+C7)),(C6+C7))&lt;C6,C4,C5)</f>
        <v/>
      </c>
      <c r="D64" s="25">
        <f>IF(MOD((38/80*(C6+C7)),(C6+C7))&lt;C6,0,-((C4*C8)-(C5*C8))/(C9*C8)*EXP(-(MOD((38/80*(C6+C7)),(C6+C7))-C6)/(C9*C8))*60)</f>
        <v/>
      </c>
      <c r="E64" s="26">
        <f>(IF(MOD((38/80*(C6+C7)),(C6+C7))&lt;C6,(C4*C8),(C5*C8)+((C4*C8)-(C5*C8))*EXP(-(MOD((38/80*(C6+C7)),(C6+C7))-C6)/(C9*C8))))*1000</f>
        <v/>
      </c>
      <c r="F64" s="25">
        <f>IF(AND(MOD((38/80*(C6+C7)),(C6+C7))&lt;C6,MOD((38/80*(C6+C7)),(C6+C7))&lt;C12),-ABS(C11)*SIN(PI()*MOD((38/80*(C6+C7)),(C6+C7))/C12),0)</f>
        <v/>
      </c>
      <c r="G64" s="25">
        <f>C5*(C10/(C8+C10))+(E64/1000)/C10+F64</f>
        <v/>
      </c>
      <c r="H64" s="25">
        <f>C64-G64</f>
        <v/>
      </c>
      <c r="I64" s="25">
        <f>C5+(E64/1000)/C8</f>
        <v/>
      </c>
    </row>
    <row r="65" ht="12.95" customHeight="1" s="44">
      <c r="B65" s="27">
        <f>(39/80*(C6+C7))</f>
        <v/>
      </c>
      <c r="C65" s="27">
        <f>IF(MOD((39/80*(C6+C7)),(C6+C7))&lt;C6,C4,C5)</f>
        <v/>
      </c>
      <c r="D65" s="27">
        <f>IF(MOD((39/80*(C6+C7)),(C6+C7))&lt;C6,0,-((C4*C8)-(C5*C8))/(C9*C8)*EXP(-(MOD((39/80*(C6+C7)),(C6+C7))-C6)/(C9*C8))*60)</f>
        <v/>
      </c>
      <c r="E65" s="28">
        <f>(IF(MOD((39/80*(C6+C7)),(C6+C7))&lt;C6,(C4*C8),(C5*C8)+((C4*C8)-(C5*C8))*EXP(-(MOD((39/80*(C6+C7)),(C6+C7))-C6)/(C9*C8))))*1000</f>
        <v/>
      </c>
      <c r="F65" s="27">
        <f>IF(AND(MOD((39/80*(C6+C7)),(C6+C7))&lt;C6,MOD((39/80*(C6+C7)),(C6+C7))&lt;C12),-ABS(C11)*SIN(PI()*MOD((39/80*(C6+C7)),(C6+C7))/C12),0)</f>
        <v/>
      </c>
      <c r="G65" s="27">
        <f>C5*(C10/(C8+C10))+(E65/1000)/C10+F65</f>
        <v/>
      </c>
      <c r="H65" s="27">
        <f>C65-G65</f>
        <v/>
      </c>
      <c r="I65" s="27">
        <f>C5+(E65/1000)/C8</f>
        <v/>
      </c>
    </row>
    <row r="66" ht="12.95" customHeight="1" s="44">
      <c r="B66" s="25">
        <f>(40/80*(C6+C7))</f>
        <v/>
      </c>
      <c r="C66" s="25">
        <f>IF(MOD((40/80*(C6+C7)),(C6+C7))&lt;C6,C4,C5)</f>
        <v/>
      </c>
      <c r="D66" s="25">
        <f>IF(MOD((40/80*(C6+C7)),(C6+C7))&lt;C6,0,-((C4*C8)-(C5*C8))/(C9*C8)*EXP(-(MOD((40/80*(C6+C7)),(C6+C7))-C6)/(C9*C8))*60)</f>
        <v/>
      </c>
      <c r="E66" s="26">
        <f>(IF(MOD((40/80*(C6+C7)),(C6+C7))&lt;C6,(C4*C8),(C5*C8)+((C4*C8)-(C5*C8))*EXP(-(MOD((40/80*(C6+C7)),(C6+C7))-C6)/(C9*C8))))*1000</f>
        <v/>
      </c>
      <c r="F66" s="25">
        <f>IF(AND(MOD((40/80*(C6+C7)),(C6+C7))&lt;C6,MOD((40/80*(C6+C7)),(C6+C7))&lt;C12),-ABS(C11)*SIN(PI()*MOD((40/80*(C6+C7)),(C6+C7))/C12),0)</f>
        <v/>
      </c>
      <c r="G66" s="25">
        <f>C5*(C10/(C8+C10))+(E66/1000)/C10+F66</f>
        <v/>
      </c>
      <c r="H66" s="25">
        <f>C66-G66</f>
        <v/>
      </c>
      <c r="I66" s="25">
        <f>C5+(E66/1000)/C8</f>
        <v/>
      </c>
    </row>
    <row r="67" ht="12.95" customHeight="1" s="44">
      <c r="B67" s="27">
        <f>(41/80*(C6+C7))</f>
        <v/>
      </c>
      <c r="C67" s="27">
        <f>IF(MOD((41/80*(C6+C7)),(C6+C7))&lt;C6,C4,C5)</f>
        <v/>
      </c>
      <c r="D67" s="27">
        <f>IF(MOD((41/80*(C6+C7)),(C6+C7))&lt;C6,0,-((C4*C8)-(C5*C8))/(C9*C8)*EXP(-(MOD((41/80*(C6+C7)),(C6+C7))-C6)/(C9*C8))*60)</f>
        <v/>
      </c>
      <c r="E67" s="28">
        <f>(IF(MOD((41/80*(C6+C7)),(C6+C7))&lt;C6,(C4*C8),(C5*C8)+((C4*C8)-(C5*C8))*EXP(-(MOD((41/80*(C6+C7)),(C6+C7))-C6)/(C9*C8))))*1000</f>
        <v/>
      </c>
      <c r="F67" s="27">
        <f>IF(AND(MOD((41/80*(C6+C7)),(C6+C7))&lt;C6,MOD((41/80*(C6+C7)),(C6+C7))&lt;C12),-ABS(C11)*SIN(PI()*MOD((41/80*(C6+C7)),(C6+C7))/C12),0)</f>
        <v/>
      </c>
      <c r="G67" s="27">
        <f>C5*(C10/(C8+C10))+(E67/1000)/C10+F67</f>
        <v/>
      </c>
      <c r="H67" s="27">
        <f>C67-G67</f>
        <v/>
      </c>
      <c r="I67" s="27">
        <f>C5+(E67/1000)/C8</f>
        <v/>
      </c>
    </row>
    <row r="68" ht="12.95" customHeight="1" s="44">
      <c r="B68" s="25">
        <f>(42/80*(C6+C7))</f>
        <v/>
      </c>
      <c r="C68" s="25">
        <f>IF(MOD((42/80*(C6+C7)),(C6+C7))&lt;C6,C4,C5)</f>
        <v/>
      </c>
      <c r="D68" s="25">
        <f>IF(MOD((42/80*(C6+C7)),(C6+C7))&lt;C6,0,-((C4*C8)-(C5*C8))/(C9*C8)*EXP(-(MOD((42/80*(C6+C7)),(C6+C7))-C6)/(C9*C8))*60)</f>
        <v/>
      </c>
      <c r="E68" s="26">
        <f>(IF(MOD((42/80*(C6+C7)),(C6+C7))&lt;C6,(C4*C8),(C5*C8)+((C4*C8)-(C5*C8))*EXP(-(MOD((42/80*(C6+C7)),(C6+C7))-C6)/(C9*C8))))*1000</f>
        <v/>
      </c>
      <c r="F68" s="25">
        <f>IF(AND(MOD((42/80*(C6+C7)),(C6+C7))&lt;C6,MOD((42/80*(C6+C7)),(C6+C7))&lt;C12),-ABS(C11)*SIN(PI()*MOD((42/80*(C6+C7)),(C6+C7))/C12),0)</f>
        <v/>
      </c>
      <c r="G68" s="25">
        <f>C5*(C10/(C8+C10))+(E68/1000)/C10+F68</f>
        <v/>
      </c>
      <c r="H68" s="25">
        <f>C68-G68</f>
        <v/>
      </c>
      <c r="I68" s="25">
        <f>C5+(E68/1000)/C8</f>
        <v/>
      </c>
    </row>
    <row r="69" ht="12.95" customHeight="1" s="44">
      <c r="B69" s="27">
        <f>(43/80*(C6+C7))</f>
        <v/>
      </c>
      <c r="C69" s="27">
        <f>IF(MOD((43/80*(C6+C7)),(C6+C7))&lt;C6,C4,C5)</f>
        <v/>
      </c>
      <c r="D69" s="27">
        <f>IF(MOD((43/80*(C6+C7)),(C6+C7))&lt;C6,0,-((C4*C8)-(C5*C8))/(C9*C8)*EXP(-(MOD((43/80*(C6+C7)),(C6+C7))-C6)/(C9*C8))*60)</f>
        <v/>
      </c>
      <c r="E69" s="28">
        <f>(IF(MOD((43/80*(C6+C7)),(C6+C7))&lt;C6,(C4*C8),(C5*C8)+((C4*C8)-(C5*C8))*EXP(-(MOD((43/80*(C6+C7)),(C6+C7))-C6)/(C9*C8))))*1000</f>
        <v/>
      </c>
      <c r="F69" s="27">
        <f>IF(AND(MOD((43/80*(C6+C7)),(C6+C7))&lt;C6,MOD((43/80*(C6+C7)),(C6+C7))&lt;C12),-ABS(C11)*SIN(PI()*MOD((43/80*(C6+C7)),(C6+C7))/C12),0)</f>
        <v/>
      </c>
      <c r="G69" s="27">
        <f>C5*(C10/(C8+C10))+(E69/1000)/C10+F69</f>
        <v/>
      </c>
      <c r="H69" s="27">
        <f>C69-G69</f>
        <v/>
      </c>
      <c r="I69" s="27">
        <f>C5+(E69/1000)/C8</f>
        <v/>
      </c>
    </row>
    <row r="70" ht="12.95" customHeight="1" s="44">
      <c r="B70" s="25">
        <f>(44/80*(C6+C7))</f>
        <v/>
      </c>
      <c r="C70" s="25">
        <f>IF(MOD((44/80*(C6+C7)),(C6+C7))&lt;C6,C4,C5)</f>
        <v/>
      </c>
      <c r="D70" s="25">
        <f>IF(MOD((44/80*(C6+C7)),(C6+C7))&lt;C6,0,-((C4*C8)-(C5*C8))/(C9*C8)*EXP(-(MOD((44/80*(C6+C7)),(C6+C7))-C6)/(C9*C8))*60)</f>
        <v/>
      </c>
      <c r="E70" s="26">
        <f>(IF(MOD((44/80*(C6+C7)),(C6+C7))&lt;C6,(C4*C8),(C5*C8)+((C4*C8)-(C5*C8))*EXP(-(MOD((44/80*(C6+C7)),(C6+C7))-C6)/(C9*C8))))*1000</f>
        <v/>
      </c>
      <c r="F70" s="25">
        <f>IF(AND(MOD((44/80*(C6+C7)),(C6+C7))&lt;C6,MOD((44/80*(C6+C7)),(C6+C7))&lt;C12),-ABS(C11)*SIN(PI()*MOD((44/80*(C6+C7)),(C6+C7))/C12),0)</f>
        <v/>
      </c>
      <c r="G70" s="25">
        <f>C5*(C10/(C8+C10))+(E70/1000)/C10+F70</f>
        <v/>
      </c>
      <c r="H70" s="25">
        <f>C70-G70</f>
        <v/>
      </c>
      <c r="I70" s="25">
        <f>C5+(E70/1000)/C8</f>
        <v/>
      </c>
    </row>
    <row r="71" ht="12.95" customHeight="1" s="44">
      <c r="B71" s="27">
        <f>(45/80*(C6+C7))</f>
        <v/>
      </c>
      <c r="C71" s="27">
        <f>IF(MOD((45/80*(C6+C7)),(C6+C7))&lt;C6,C4,C5)</f>
        <v/>
      </c>
      <c r="D71" s="27">
        <f>IF(MOD((45/80*(C6+C7)),(C6+C7))&lt;C6,0,-((C4*C8)-(C5*C8))/(C9*C8)*EXP(-(MOD((45/80*(C6+C7)),(C6+C7))-C6)/(C9*C8))*60)</f>
        <v/>
      </c>
      <c r="E71" s="28">
        <f>(IF(MOD((45/80*(C6+C7)),(C6+C7))&lt;C6,(C4*C8),(C5*C8)+((C4*C8)-(C5*C8))*EXP(-(MOD((45/80*(C6+C7)),(C6+C7))-C6)/(C9*C8))))*1000</f>
        <v/>
      </c>
      <c r="F71" s="27">
        <f>IF(AND(MOD((45/80*(C6+C7)),(C6+C7))&lt;C6,MOD((45/80*(C6+C7)),(C6+C7))&lt;C12),-ABS(C11)*SIN(PI()*MOD((45/80*(C6+C7)),(C6+C7))/C12),0)</f>
        <v/>
      </c>
      <c r="G71" s="27">
        <f>C5*(C10/(C8+C10))+(E71/1000)/C10+F71</f>
        <v/>
      </c>
      <c r="H71" s="27">
        <f>C71-G71</f>
        <v/>
      </c>
      <c r="I71" s="27">
        <f>C5+(E71/1000)/C8</f>
        <v/>
      </c>
    </row>
    <row r="72" ht="12.95" customHeight="1" s="44">
      <c r="B72" s="25">
        <f>(46/80*(C6+C7))</f>
        <v/>
      </c>
      <c r="C72" s="25">
        <f>IF(MOD((46/80*(C6+C7)),(C6+C7))&lt;C6,C4,C5)</f>
        <v/>
      </c>
      <c r="D72" s="25">
        <f>IF(MOD((46/80*(C6+C7)),(C6+C7))&lt;C6,0,-((C4*C8)-(C5*C8))/(C9*C8)*EXP(-(MOD((46/80*(C6+C7)),(C6+C7))-C6)/(C9*C8))*60)</f>
        <v/>
      </c>
      <c r="E72" s="26">
        <f>(IF(MOD((46/80*(C6+C7)),(C6+C7))&lt;C6,(C4*C8),(C5*C8)+((C4*C8)-(C5*C8))*EXP(-(MOD((46/80*(C6+C7)),(C6+C7))-C6)/(C9*C8))))*1000</f>
        <v/>
      </c>
      <c r="F72" s="25">
        <f>IF(AND(MOD((46/80*(C6+C7)),(C6+C7))&lt;C6,MOD((46/80*(C6+C7)),(C6+C7))&lt;C12),-ABS(C11)*SIN(PI()*MOD((46/80*(C6+C7)),(C6+C7))/C12),0)</f>
        <v/>
      </c>
      <c r="G72" s="25">
        <f>C5*(C10/(C8+C10))+(E72/1000)/C10+F72</f>
        <v/>
      </c>
      <c r="H72" s="25">
        <f>C72-G72</f>
        <v/>
      </c>
      <c r="I72" s="25">
        <f>C5+(E72/1000)/C8</f>
        <v/>
      </c>
    </row>
    <row r="73" ht="12.95" customHeight="1" s="44">
      <c r="B73" s="27">
        <f>(47/80*(C6+C7))</f>
        <v/>
      </c>
      <c r="C73" s="27">
        <f>IF(MOD((47/80*(C6+C7)),(C6+C7))&lt;C6,C4,C5)</f>
        <v/>
      </c>
      <c r="D73" s="27">
        <f>IF(MOD((47/80*(C6+C7)),(C6+C7))&lt;C6,0,-((C4*C8)-(C5*C8))/(C9*C8)*EXP(-(MOD((47/80*(C6+C7)),(C6+C7))-C6)/(C9*C8))*60)</f>
        <v/>
      </c>
      <c r="E73" s="28">
        <f>(IF(MOD((47/80*(C6+C7)),(C6+C7))&lt;C6,(C4*C8),(C5*C8)+((C4*C8)-(C5*C8))*EXP(-(MOD((47/80*(C6+C7)),(C6+C7))-C6)/(C9*C8))))*1000</f>
        <v/>
      </c>
      <c r="F73" s="27">
        <f>IF(AND(MOD((47/80*(C6+C7)),(C6+C7))&lt;C6,MOD((47/80*(C6+C7)),(C6+C7))&lt;C12),-ABS(C11)*SIN(PI()*MOD((47/80*(C6+C7)),(C6+C7))/C12),0)</f>
        <v/>
      </c>
      <c r="G73" s="27">
        <f>C5*(C10/(C8+C10))+(E73/1000)/C10+F73</f>
        <v/>
      </c>
      <c r="H73" s="27">
        <f>C73-G73</f>
        <v/>
      </c>
      <c r="I73" s="27">
        <f>C5+(E73/1000)/C8</f>
        <v/>
      </c>
    </row>
    <row r="74" ht="12.95" customHeight="1" s="44">
      <c r="B74" s="25">
        <f>(48/80*(C6+C7))</f>
        <v/>
      </c>
      <c r="C74" s="25">
        <f>IF(MOD((48/80*(C6+C7)),(C6+C7))&lt;C6,C4,C5)</f>
        <v/>
      </c>
      <c r="D74" s="25">
        <f>IF(MOD((48/80*(C6+C7)),(C6+C7))&lt;C6,0,-((C4*C8)-(C5*C8))/(C9*C8)*EXP(-(MOD((48/80*(C6+C7)),(C6+C7))-C6)/(C9*C8))*60)</f>
        <v/>
      </c>
      <c r="E74" s="26">
        <f>(IF(MOD((48/80*(C6+C7)),(C6+C7))&lt;C6,(C4*C8),(C5*C8)+((C4*C8)-(C5*C8))*EXP(-(MOD((48/80*(C6+C7)),(C6+C7))-C6)/(C9*C8))))*1000</f>
        <v/>
      </c>
      <c r="F74" s="25">
        <f>IF(AND(MOD((48/80*(C6+C7)),(C6+C7))&lt;C6,MOD((48/80*(C6+C7)),(C6+C7))&lt;C12),-ABS(C11)*SIN(PI()*MOD((48/80*(C6+C7)),(C6+C7))/C12),0)</f>
        <v/>
      </c>
      <c r="G74" s="25">
        <f>C5*(C10/(C8+C10))+(E74/1000)/C10+F74</f>
        <v/>
      </c>
      <c r="H74" s="25">
        <f>C74-G74</f>
        <v/>
      </c>
      <c r="I74" s="25">
        <f>C5+(E74/1000)/C8</f>
        <v/>
      </c>
    </row>
    <row r="75" ht="12.95" customHeight="1" s="44">
      <c r="B75" s="27">
        <f>(49/80*(C6+C7))</f>
        <v/>
      </c>
      <c r="C75" s="27">
        <f>IF(MOD((49/80*(C6+C7)),(C6+C7))&lt;C6,C4,C5)</f>
        <v/>
      </c>
      <c r="D75" s="27">
        <f>IF(MOD((49/80*(C6+C7)),(C6+C7))&lt;C6,0,-((C4*C8)-(C5*C8))/(C9*C8)*EXP(-(MOD((49/80*(C6+C7)),(C6+C7))-C6)/(C9*C8))*60)</f>
        <v/>
      </c>
      <c r="E75" s="28">
        <f>(IF(MOD((49/80*(C6+C7)),(C6+C7))&lt;C6,(C4*C8),(C5*C8)+((C4*C8)-(C5*C8))*EXP(-(MOD((49/80*(C6+C7)),(C6+C7))-C6)/(C9*C8))))*1000</f>
        <v/>
      </c>
      <c r="F75" s="27">
        <f>IF(AND(MOD((49/80*(C6+C7)),(C6+C7))&lt;C6,MOD((49/80*(C6+C7)),(C6+C7))&lt;C12),-ABS(C11)*SIN(PI()*MOD((49/80*(C6+C7)),(C6+C7))/C12),0)</f>
        <v/>
      </c>
      <c r="G75" s="27">
        <f>C5*(C10/(C8+C10))+(E75/1000)/C10+F75</f>
        <v/>
      </c>
      <c r="H75" s="27">
        <f>C75-G75</f>
        <v/>
      </c>
      <c r="I75" s="27">
        <f>C5+(E75/1000)/C8</f>
        <v/>
      </c>
    </row>
    <row r="76" ht="12.95" customHeight="1" s="44">
      <c r="B76" s="25">
        <f>(50/80*(C6+C7))</f>
        <v/>
      </c>
      <c r="C76" s="25">
        <f>IF(MOD((50/80*(C6+C7)),(C6+C7))&lt;C6,C4,C5)</f>
        <v/>
      </c>
      <c r="D76" s="25">
        <f>IF(MOD((50/80*(C6+C7)),(C6+C7))&lt;C6,0,-((C4*C8)-(C5*C8))/(C9*C8)*EXP(-(MOD((50/80*(C6+C7)),(C6+C7))-C6)/(C9*C8))*60)</f>
        <v/>
      </c>
      <c r="E76" s="26">
        <f>(IF(MOD((50/80*(C6+C7)),(C6+C7))&lt;C6,(C4*C8),(C5*C8)+((C4*C8)-(C5*C8))*EXP(-(MOD((50/80*(C6+C7)),(C6+C7))-C6)/(C9*C8))))*1000</f>
        <v/>
      </c>
      <c r="F76" s="25">
        <f>IF(AND(MOD((50/80*(C6+C7)),(C6+C7))&lt;C6,MOD((50/80*(C6+C7)),(C6+C7))&lt;C12),-ABS(C11)*SIN(PI()*MOD((50/80*(C6+C7)),(C6+C7))/C12),0)</f>
        <v/>
      </c>
      <c r="G76" s="25">
        <f>C5*(C10/(C8+C10))+(E76/1000)/C10+F76</f>
        <v/>
      </c>
      <c r="H76" s="25">
        <f>C76-G76</f>
        <v/>
      </c>
      <c r="I76" s="25">
        <f>C5+(E76/1000)/C8</f>
        <v/>
      </c>
    </row>
    <row r="77" ht="12.95" customHeight="1" s="44">
      <c r="B77" s="27">
        <f>(51/80*(C6+C7))</f>
        <v/>
      </c>
      <c r="C77" s="27">
        <f>IF(MOD((51/80*(C6+C7)),(C6+C7))&lt;C6,C4,C5)</f>
        <v/>
      </c>
      <c r="D77" s="27">
        <f>IF(MOD((51/80*(C6+C7)),(C6+C7))&lt;C6,0,-((C4*C8)-(C5*C8))/(C9*C8)*EXP(-(MOD((51/80*(C6+C7)),(C6+C7))-C6)/(C9*C8))*60)</f>
        <v/>
      </c>
      <c r="E77" s="28">
        <f>(IF(MOD((51/80*(C6+C7)),(C6+C7))&lt;C6,(C4*C8),(C5*C8)+((C4*C8)-(C5*C8))*EXP(-(MOD((51/80*(C6+C7)),(C6+C7))-C6)/(C9*C8))))*1000</f>
        <v/>
      </c>
      <c r="F77" s="27">
        <f>IF(AND(MOD((51/80*(C6+C7)),(C6+C7))&lt;C6,MOD((51/80*(C6+C7)),(C6+C7))&lt;C12),-ABS(C11)*SIN(PI()*MOD((51/80*(C6+C7)),(C6+C7))/C12),0)</f>
        <v/>
      </c>
      <c r="G77" s="27">
        <f>C5*(C10/(C8+C10))+(E77/1000)/C10+F77</f>
        <v/>
      </c>
      <c r="H77" s="27">
        <f>C77-G77</f>
        <v/>
      </c>
      <c r="I77" s="27">
        <f>C5+(E77/1000)/C8</f>
        <v/>
      </c>
    </row>
    <row r="78" ht="12.95" customHeight="1" s="44">
      <c r="B78" s="25">
        <f>(52/80*(C6+C7))</f>
        <v/>
      </c>
      <c r="C78" s="25">
        <f>IF(MOD((52/80*(C6+C7)),(C6+C7))&lt;C6,C4,C5)</f>
        <v/>
      </c>
      <c r="D78" s="25">
        <f>IF(MOD((52/80*(C6+C7)),(C6+C7))&lt;C6,0,-((C4*C8)-(C5*C8))/(C9*C8)*EXP(-(MOD((52/80*(C6+C7)),(C6+C7))-C6)/(C9*C8))*60)</f>
        <v/>
      </c>
      <c r="E78" s="26">
        <f>(IF(MOD((52/80*(C6+C7)),(C6+C7))&lt;C6,(C4*C8),(C5*C8)+((C4*C8)-(C5*C8))*EXP(-(MOD((52/80*(C6+C7)),(C6+C7))-C6)/(C9*C8))))*1000</f>
        <v/>
      </c>
      <c r="F78" s="25">
        <f>IF(AND(MOD((52/80*(C6+C7)),(C6+C7))&lt;C6,MOD((52/80*(C6+C7)),(C6+C7))&lt;C12),-ABS(C11)*SIN(PI()*MOD((52/80*(C6+C7)),(C6+C7))/C12),0)</f>
        <v/>
      </c>
      <c r="G78" s="25">
        <f>C5*(C10/(C8+C10))+(E78/1000)/C10+F78</f>
        <v/>
      </c>
      <c r="H78" s="25">
        <f>C78-G78</f>
        <v/>
      </c>
      <c r="I78" s="25">
        <f>C5+(E78/1000)/C8</f>
        <v/>
      </c>
    </row>
    <row r="79" ht="12.95" customHeight="1" s="44">
      <c r="B79" s="27">
        <f>(53/80*(C6+C7))</f>
        <v/>
      </c>
      <c r="C79" s="27">
        <f>IF(MOD((53/80*(C6+C7)),(C6+C7))&lt;C6,C4,C5)</f>
        <v/>
      </c>
      <c r="D79" s="27">
        <f>IF(MOD((53/80*(C6+C7)),(C6+C7))&lt;C6,0,-((C4*C8)-(C5*C8))/(C9*C8)*EXP(-(MOD((53/80*(C6+C7)),(C6+C7))-C6)/(C9*C8))*60)</f>
        <v/>
      </c>
      <c r="E79" s="28">
        <f>(IF(MOD((53/80*(C6+C7)),(C6+C7))&lt;C6,(C4*C8),(C5*C8)+((C4*C8)-(C5*C8))*EXP(-(MOD((53/80*(C6+C7)),(C6+C7))-C6)/(C9*C8))))*1000</f>
        <v/>
      </c>
      <c r="F79" s="27">
        <f>IF(AND(MOD((53/80*(C6+C7)),(C6+C7))&lt;C6,MOD((53/80*(C6+C7)),(C6+C7))&lt;C12),-ABS(C11)*SIN(PI()*MOD((53/80*(C6+C7)),(C6+C7))/C12),0)</f>
        <v/>
      </c>
      <c r="G79" s="27">
        <f>C5*(C10/(C8+C10))+(E79/1000)/C10+F79</f>
        <v/>
      </c>
      <c r="H79" s="27">
        <f>C79-G79</f>
        <v/>
      </c>
      <c r="I79" s="27">
        <f>C5+(E79/1000)/C8</f>
        <v/>
      </c>
    </row>
    <row r="80" ht="12.95" customHeight="1" s="44">
      <c r="B80" s="25">
        <f>(54/80*(C6+C7))</f>
        <v/>
      </c>
      <c r="C80" s="25">
        <f>IF(MOD((54/80*(C6+C7)),(C6+C7))&lt;C6,C4,C5)</f>
        <v/>
      </c>
      <c r="D80" s="25">
        <f>IF(MOD((54/80*(C6+C7)),(C6+C7))&lt;C6,0,-((C4*C8)-(C5*C8))/(C9*C8)*EXP(-(MOD((54/80*(C6+C7)),(C6+C7))-C6)/(C9*C8))*60)</f>
        <v/>
      </c>
      <c r="E80" s="26">
        <f>(IF(MOD((54/80*(C6+C7)),(C6+C7))&lt;C6,(C4*C8),(C5*C8)+((C4*C8)-(C5*C8))*EXP(-(MOD((54/80*(C6+C7)),(C6+C7))-C6)/(C9*C8))))*1000</f>
        <v/>
      </c>
      <c r="F80" s="25">
        <f>IF(AND(MOD((54/80*(C6+C7)),(C6+C7))&lt;C6,MOD((54/80*(C6+C7)),(C6+C7))&lt;C12),-ABS(C11)*SIN(PI()*MOD((54/80*(C6+C7)),(C6+C7))/C12),0)</f>
        <v/>
      </c>
      <c r="G80" s="25">
        <f>C5*(C10/(C8+C10))+(E80/1000)/C10+F80</f>
        <v/>
      </c>
      <c r="H80" s="25">
        <f>C80-G80</f>
        <v/>
      </c>
      <c r="I80" s="25">
        <f>C5+(E80/1000)/C8</f>
        <v/>
      </c>
    </row>
    <row r="81" ht="12.95" customHeight="1" s="44">
      <c r="B81" s="27">
        <f>(55/80*(C6+C7))</f>
        <v/>
      </c>
      <c r="C81" s="27">
        <f>IF(MOD((55/80*(C6+C7)),(C6+C7))&lt;C6,C4,C5)</f>
        <v/>
      </c>
      <c r="D81" s="27">
        <f>IF(MOD((55/80*(C6+C7)),(C6+C7))&lt;C6,0,-((C4*C8)-(C5*C8))/(C9*C8)*EXP(-(MOD((55/80*(C6+C7)),(C6+C7))-C6)/(C9*C8))*60)</f>
        <v/>
      </c>
      <c r="E81" s="28">
        <f>(IF(MOD((55/80*(C6+C7)),(C6+C7))&lt;C6,(C4*C8),(C5*C8)+((C4*C8)-(C5*C8))*EXP(-(MOD((55/80*(C6+C7)),(C6+C7))-C6)/(C9*C8))))*1000</f>
        <v/>
      </c>
      <c r="F81" s="27">
        <f>IF(AND(MOD((55/80*(C6+C7)),(C6+C7))&lt;C6,MOD((55/80*(C6+C7)),(C6+C7))&lt;C12),-ABS(C11)*SIN(PI()*MOD((55/80*(C6+C7)),(C6+C7))/C12),0)</f>
        <v/>
      </c>
      <c r="G81" s="27">
        <f>C5*(C10/(C8+C10))+(E81/1000)/C10+F81</f>
        <v/>
      </c>
      <c r="H81" s="27">
        <f>C81-G81</f>
        <v/>
      </c>
      <c r="I81" s="27">
        <f>C5+(E81/1000)/C8</f>
        <v/>
      </c>
    </row>
    <row r="82" ht="12.95" customHeight="1" s="44">
      <c r="B82" s="25">
        <f>(56/80*(C6+C7))</f>
        <v/>
      </c>
      <c r="C82" s="25">
        <f>IF(MOD((56/80*(C6+C7)),(C6+C7))&lt;C6,C4,C5)</f>
        <v/>
      </c>
      <c r="D82" s="25">
        <f>IF(MOD((56/80*(C6+C7)),(C6+C7))&lt;C6,0,-((C4*C8)-(C5*C8))/(C9*C8)*EXP(-(MOD((56/80*(C6+C7)),(C6+C7))-C6)/(C9*C8))*60)</f>
        <v/>
      </c>
      <c r="E82" s="26">
        <f>(IF(MOD((56/80*(C6+C7)),(C6+C7))&lt;C6,(C4*C8),(C5*C8)+((C4*C8)-(C5*C8))*EXP(-(MOD((56/80*(C6+C7)),(C6+C7))-C6)/(C9*C8))))*1000</f>
        <v/>
      </c>
      <c r="F82" s="25">
        <f>IF(AND(MOD((56/80*(C6+C7)),(C6+C7))&lt;C6,MOD((56/80*(C6+C7)),(C6+C7))&lt;C12),-ABS(C11)*SIN(PI()*MOD((56/80*(C6+C7)),(C6+C7))/C12),0)</f>
        <v/>
      </c>
      <c r="G82" s="25">
        <f>C5*(C10/(C8+C10))+(E82/1000)/C10+F82</f>
        <v/>
      </c>
      <c r="H82" s="25">
        <f>C82-G82</f>
        <v/>
      </c>
      <c r="I82" s="25">
        <f>C5+(E82/1000)/C8</f>
        <v/>
      </c>
    </row>
    <row r="83" ht="12.95" customHeight="1" s="44">
      <c r="B83" s="27">
        <f>(57/80*(C6+C7))</f>
        <v/>
      </c>
      <c r="C83" s="27">
        <f>IF(MOD((57/80*(C6+C7)),(C6+C7))&lt;C6,C4,C5)</f>
        <v/>
      </c>
      <c r="D83" s="27">
        <f>IF(MOD((57/80*(C6+C7)),(C6+C7))&lt;C6,0,-((C4*C8)-(C5*C8))/(C9*C8)*EXP(-(MOD((57/80*(C6+C7)),(C6+C7))-C6)/(C9*C8))*60)</f>
        <v/>
      </c>
      <c r="E83" s="28">
        <f>(IF(MOD((57/80*(C6+C7)),(C6+C7))&lt;C6,(C4*C8),(C5*C8)+((C4*C8)-(C5*C8))*EXP(-(MOD((57/80*(C6+C7)),(C6+C7))-C6)/(C9*C8))))*1000</f>
        <v/>
      </c>
      <c r="F83" s="27">
        <f>IF(AND(MOD((57/80*(C6+C7)),(C6+C7))&lt;C6,MOD((57/80*(C6+C7)),(C6+C7))&lt;C12),-ABS(C11)*SIN(PI()*MOD((57/80*(C6+C7)),(C6+C7))/C12),0)</f>
        <v/>
      </c>
      <c r="G83" s="27">
        <f>C5*(C10/(C8+C10))+(E83/1000)/C10+F83</f>
        <v/>
      </c>
      <c r="H83" s="27">
        <f>C83-G83</f>
        <v/>
      </c>
      <c r="I83" s="27">
        <f>C5+(E83/1000)/C8</f>
        <v/>
      </c>
    </row>
    <row r="84" ht="12.95" customHeight="1" s="44">
      <c r="B84" s="25">
        <f>(58/80*(C6+C7))</f>
        <v/>
      </c>
      <c r="C84" s="25">
        <f>IF(MOD((58/80*(C6+C7)),(C6+C7))&lt;C6,C4,C5)</f>
        <v/>
      </c>
      <c r="D84" s="25">
        <f>IF(MOD((58/80*(C6+C7)),(C6+C7))&lt;C6,0,-((C4*C8)-(C5*C8))/(C9*C8)*EXP(-(MOD((58/80*(C6+C7)),(C6+C7))-C6)/(C9*C8))*60)</f>
        <v/>
      </c>
      <c r="E84" s="26">
        <f>(IF(MOD((58/80*(C6+C7)),(C6+C7))&lt;C6,(C4*C8),(C5*C8)+((C4*C8)-(C5*C8))*EXP(-(MOD((58/80*(C6+C7)),(C6+C7))-C6)/(C9*C8))))*1000</f>
        <v/>
      </c>
      <c r="F84" s="25">
        <f>IF(AND(MOD((58/80*(C6+C7)),(C6+C7))&lt;C6,MOD((58/80*(C6+C7)),(C6+C7))&lt;C12),-ABS(C11)*SIN(PI()*MOD((58/80*(C6+C7)),(C6+C7))/C12),0)</f>
        <v/>
      </c>
      <c r="G84" s="25">
        <f>C5*(C10/(C8+C10))+(E84/1000)/C10+F84</f>
        <v/>
      </c>
      <c r="H84" s="25">
        <f>C84-G84</f>
        <v/>
      </c>
      <c r="I84" s="25">
        <f>C5+(E84/1000)/C8</f>
        <v/>
      </c>
    </row>
    <row r="85" ht="12.95" customHeight="1" s="44">
      <c r="B85" s="27">
        <f>(59/80*(C6+C7))</f>
        <v/>
      </c>
      <c r="C85" s="27">
        <f>IF(MOD((59/80*(C6+C7)),(C6+C7))&lt;C6,C4,C5)</f>
        <v/>
      </c>
      <c r="D85" s="27">
        <f>IF(MOD((59/80*(C6+C7)),(C6+C7))&lt;C6,0,-((C4*C8)-(C5*C8))/(C9*C8)*EXP(-(MOD((59/80*(C6+C7)),(C6+C7))-C6)/(C9*C8))*60)</f>
        <v/>
      </c>
      <c r="E85" s="28">
        <f>(IF(MOD((59/80*(C6+C7)),(C6+C7))&lt;C6,(C4*C8),(C5*C8)+((C4*C8)-(C5*C8))*EXP(-(MOD((59/80*(C6+C7)),(C6+C7))-C6)/(C9*C8))))*1000</f>
        <v/>
      </c>
      <c r="F85" s="27">
        <f>IF(AND(MOD((59/80*(C6+C7)),(C6+C7))&lt;C6,MOD((59/80*(C6+C7)),(C6+C7))&lt;C12),-ABS(C11)*SIN(PI()*MOD((59/80*(C6+C7)),(C6+C7))/C12),0)</f>
        <v/>
      </c>
      <c r="G85" s="27">
        <f>C5*(C10/(C8+C10))+(E85/1000)/C10+F85</f>
        <v/>
      </c>
      <c r="H85" s="27">
        <f>C85-G85</f>
        <v/>
      </c>
      <c r="I85" s="27">
        <f>C5+(E85/1000)/C8</f>
        <v/>
      </c>
    </row>
    <row r="86" ht="12.95" customHeight="1" s="44">
      <c r="B86" s="25">
        <f>(60/80*(C6+C7))</f>
        <v/>
      </c>
      <c r="C86" s="25">
        <f>IF(MOD((60/80*(C6+C7)),(C6+C7))&lt;C6,C4,C5)</f>
        <v/>
      </c>
      <c r="D86" s="25">
        <f>IF(MOD((60/80*(C6+C7)),(C6+C7))&lt;C6,0,-((C4*C8)-(C5*C8))/(C9*C8)*EXP(-(MOD((60/80*(C6+C7)),(C6+C7))-C6)/(C9*C8))*60)</f>
        <v/>
      </c>
      <c r="E86" s="26">
        <f>(IF(MOD((60/80*(C6+C7)),(C6+C7))&lt;C6,(C4*C8),(C5*C8)+((C4*C8)-(C5*C8))*EXP(-(MOD((60/80*(C6+C7)),(C6+C7))-C6)/(C9*C8))))*1000</f>
        <v/>
      </c>
      <c r="F86" s="25">
        <f>IF(AND(MOD((60/80*(C6+C7)),(C6+C7))&lt;C6,MOD((60/80*(C6+C7)),(C6+C7))&lt;C12),-ABS(C11)*SIN(PI()*MOD((60/80*(C6+C7)),(C6+C7))/C12),0)</f>
        <v/>
      </c>
      <c r="G86" s="25">
        <f>C5*(C10/(C8+C10))+(E86/1000)/C10+F86</f>
        <v/>
      </c>
      <c r="H86" s="25">
        <f>C86-G86</f>
        <v/>
      </c>
      <c r="I86" s="25">
        <f>C5+(E86/1000)/C8</f>
        <v/>
      </c>
    </row>
    <row r="87" ht="12.95" customHeight="1" s="44">
      <c r="B87" s="27">
        <f>(61/80*(C6+C7))</f>
        <v/>
      </c>
      <c r="C87" s="27">
        <f>IF(MOD((61/80*(C6+C7)),(C6+C7))&lt;C6,C4,C5)</f>
        <v/>
      </c>
      <c r="D87" s="27">
        <f>IF(MOD((61/80*(C6+C7)),(C6+C7))&lt;C6,0,-((C4*C8)-(C5*C8))/(C9*C8)*EXP(-(MOD((61/80*(C6+C7)),(C6+C7))-C6)/(C9*C8))*60)</f>
        <v/>
      </c>
      <c r="E87" s="28">
        <f>(IF(MOD((61/80*(C6+C7)),(C6+C7))&lt;C6,(C4*C8),(C5*C8)+((C4*C8)-(C5*C8))*EXP(-(MOD((61/80*(C6+C7)),(C6+C7))-C6)/(C9*C8))))*1000</f>
        <v/>
      </c>
      <c r="F87" s="27">
        <f>IF(AND(MOD((61/80*(C6+C7)),(C6+C7))&lt;C6,MOD((61/80*(C6+C7)),(C6+C7))&lt;C12),-ABS(C11)*SIN(PI()*MOD((61/80*(C6+C7)),(C6+C7))/C12),0)</f>
        <v/>
      </c>
      <c r="G87" s="27">
        <f>C5*(C10/(C8+C10))+(E87/1000)/C10+F87</f>
        <v/>
      </c>
      <c r="H87" s="27">
        <f>C87-G87</f>
        <v/>
      </c>
      <c r="I87" s="27">
        <f>C5+(E87/1000)/C8</f>
        <v/>
      </c>
    </row>
    <row r="88" ht="12.95" customHeight="1" s="44">
      <c r="B88" s="25">
        <f>(62/80*(C6+C7))</f>
        <v/>
      </c>
      <c r="C88" s="25">
        <f>IF(MOD((62/80*(C6+C7)),(C6+C7))&lt;C6,C4,C5)</f>
        <v/>
      </c>
      <c r="D88" s="25">
        <f>IF(MOD((62/80*(C6+C7)),(C6+C7))&lt;C6,0,-((C4*C8)-(C5*C8))/(C9*C8)*EXP(-(MOD((62/80*(C6+C7)),(C6+C7))-C6)/(C9*C8))*60)</f>
        <v/>
      </c>
      <c r="E88" s="26">
        <f>(IF(MOD((62/80*(C6+C7)),(C6+C7))&lt;C6,(C4*C8),(C5*C8)+((C4*C8)-(C5*C8))*EXP(-(MOD((62/80*(C6+C7)),(C6+C7))-C6)/(C9*C8))))*1000</f>
        <v/>
      </c>
      <c r="F88" s="25">
        <f>IF(AND(MOD((62/80*(C6+C7)),(C6+C7))&lt;C6,MOD((62/80*(C6+C7)),(C6+C7))&lt;C12),-ABS(C11)*SIN(PI()*MOD((62/80*(C6+C7)),(C6+C7))/C12),0)</f>
        <v/>
      </c>
      <c r="G88" s="25">
        <f>C5*(C10/(C8+C10))+(E88/1000)/C10+F88</f>
        <v/>
      </c>
      <c r="H88" s="25">
        <f>C88-G88</f>
        <v/>
      </c>
      <c r="I88" s="25">
        <f>C5+(E88/1000)/C8</f>
        <v/>
      </c>
    </row>
    <row r="89" ht="12.95" customHeight="1" s="44">
      <c r="B89" s="27">
        <f>(63/80*(C6+C7))</f>
        <v/>
      </c>
      <c r="C89" s="27">
        <f>IF(MOD((63/80*(C6+C7)),(C6+C7))&lt;C6,C4,C5)</f>
        <v/>
      </c>
      <c r="D89" s="27">
        <f>IF(MOD((63/80*(C6+C7)),(C6+C7))&lt;C6,0,-((C4*C8)-(C5*C8))/(C9*C8)*EXP(-(MOD((63/80*(C6+C7)),(C6+C7))-C6)/(C9*C8))*60)</f>
        <v/>
      </c>
      <c r="E89" s="28">
        <f>(IF(MOD((63/80*(C6+C7)),(C6+C7))&lt;C6,(C4*C8),(C5*C8)+((C4*C8)-(C5*C8))*EXP(-(MOD((63/80*(C6+C7)),(C6+C7))-C6)/(C9*C8))))*1000</f>
        <v/>
      </c>
      <c r="F89" s="27">
        <f>IF(AND(MOD((63/80*(C6+C7)),(C6+C7))&lt;C6,MOD((63/80*(C6+C7)),(C6+C7))&lt;C12),-ABS(C11)*SIN(PI()*MOD((63/80*(C6+C7)),(C6+C7))/C12),0)</f>
        <v/>
      </c>
      <c r="G89" s="27">
        <f>C5*(C10/(C8+C10))+(E89/1000)/C10+F89</f>
        <v/>
      </c>
      <c r="H89" s="27">
        <f>C89-G89</f>
        <v/>
      </c>
      <c r="I89" s="27">
        <f>C5+(E89/1000)/C8</f>
        <v/>
      </c>
    </row>
    <row r="90" ht="12.95" customHeight="1" s="44">
      <c r="B90" s="25">
        <f>(64/80*(C6+C7))</f>
        <v/>
      </c>
      <c r="C90" s="25">
        <f>IF(MOD((64/80*(C6+C7)),(C6+C7))&lt;C6,C4,C5)</f>
        <v/>
      </c>
      <c r="D90" s="25">
        <f>IF(MOD((64/80*(C6+C7)),(C6+C7))&lt;C6,0,-((C4*C8)-(C5*C8))/(C9*C8)*EXP(-(MOD((64/80*(C6+C7)),(C6+C7))-C6)/(C9*C8))*60)</f>
        <v/>
      </c>
      <c r="E90" s="26">
        <f>(IF(MOD((64/80*(C6+C7)),(C6+C7))&lt;C6,(C4*C8),(C5*C8)+((C4*C8)-(C5*C8))*EXP(-(MOD((64/80*(C6+C7)),(C6+C7))-C6)/(C9*C8))))*1000</f>
        <v/>
      </c>
      <c r="F90" s="25">
        <f>IF(AND(MOD((64/80*(C6+C7)),(C6+C7))&lt;C6,MOD((64/80*(C6+C7)),(C6+C7))&lt;C12),-ABS(C11)*SIN(PI()*MOD((64/80*(C6+C7)),(C6+C7))/C12),0)</f>
        <v/>
      </c>
      <c r="G90" s="25">
        <f>C5*(C10/(C8+C10))+(E90/1000)/C10+F90</f>
        <v/>
      </c>
      <c r="H90" s="25">
        <f>C90-G90</f>
        <v/>
      </c>
      <c r="I90" s="25">
        <f>C5+(E90/1000)/C8</f>
        <v/>
      </c>
    </row>
    <row r="91" ht="12.95" customHeight="1" s="44">
      <c r="B91" s="27">
        <f>(65/80*(C6+C7))</f>
        <v/>
      </c>
      <c r="C91" s="27">
        <f>IF(MOD((65/80*(C6+C7)),(C6+C7))&lt;C6,C4,C5)</f>
        <v/>
      </c>
      <c r="D91" s="27">
        <f>IF(MOD((65/80*(C6+C7)),(C6+C7))&lt;C6,0,-((C4*C8)-(C5*C8))/(C9*C8)*EXP(-(MOD((65/80*(C6+C7)),(C6+C7))-C6)/(C9*C8))*60)</f>
        <v/>
      </c>
      <c r="E91" s="28">
        <f>(IF(MOD((65/80*(C6+C7)),(C6+C7))&lt;C6,(C4*C8),(C5*C8)+((C4*C8)-(C5*C8))*EXP(-(MOD((65/80*(C6+C7)),(C6+C7))-C6)/(C9*C8))))*1000</f>
        <v/>
      </c>
      <c r="F91" s="27">
        <f>IF(AND(MOD((65/80*(C6+C7)),(C6+C7))&lt;C6,MOD((65/80*(C6+C7)),(C6+C7))&lt;C12),-ABS(C11)*SIN(PI()*MOD((65/80*(C6+C7)),(C6+C7))/C12),0)</f>
        <v/>
      </c>
      <c r="G91" s="27">
        <f>C5*(C10/(C8+C10))+(E91/1000)/C10+F91</f>
        <v/>
      </c>
      <c r="H91" s="27">
        <f>C91-G91</f>
        <v/>
      </c>
      <c r="I91" s="27">
        <f>C5+(E91/1000)/C8</f>
        <v/>
      </c>
    </row>
    <row r="92" ht="12.95" customHeight="1" s="44">
      <c r="B92" s="25">
        <f>(66/80*(C6+C7))</f>
        <v/>
      </c>
      <c r="C92" s="25">
        <f>IF(MOD((66/80*(C6+C7)),(C6+C7))&lt;C6,C4,C5)</f>
        <v/>
      </c>
      <c r="D92" s="25">
        <f>IF(MOD((66/80*(C6+C7)),(C6+C7))&lt;C6,0,-((C4*C8)-(C5*C8))/(C9*C8)*EXP(-(MOD((66/80*(C6+C7)),(C6+C7))-C6)/(C9*C8))*60)</f>
        <v/>
      </c>
      <c r="E92" s="26">
        <f>(IF(MOD((66/80*(C6+C7)),(C6+C7))&lt;C6,(C4*C8),(C5*C8)+((C4*C8)-(C5*C8))*EXP(-(MOD((66/80*(C6+C7)),(C6+C7))-C6)/(C9*C8))))*1000</f>
        <v/>
      </c>
      <c r="F92" s="25">
        <f>IF(AND(MOD((66/80*(C6+C7)),(C6+C7))&lt;C6,MOD((66/80*(C6+C7)),(C6+C7))&lt;C12),-ABS(C11)*SIN(PI()*MOD((66/80*(C6+C7)),(C6+C7))/C12),0)</f>
        <v/>
      </c>
      <c r="G92" s="25">
        <f>C5*(C10/(C8+C10))+(E92/1000)/C10+F92</f>
        <v/>
      </c>
      <c r="H92" s="25">
        <f>C92-G92</f>
        <v/>
      </c>
      <c r="I92" s="25">
        <f>C5+(E92/1000)/C8</f>
        <v/>
      </c>
    </row>
    <row r="93" ht="12.95" customHeight="1" s="44">
      <c r="B93" s="27">
        <f>(67/80*(C6+C7))</f>
        <v/>
      </c>
      <c r="C93" s="27">
        <f>IF(MOD((67/80*(C6+C7)),(C6+C7))&lt;C6,C4,C5)</f>
        <v/>
      </c>
      <c r="D93" s="27">
        <f>IF(MOD((67/80*(C6+C7)),(C6+C7))&lt;C6,0,-((C4*C8)-(C5*C8))/(C9*C8)*EXP(-(MOD((67/80*(C6+C7)),(C6+C7))-C6)/(C9*C8))*60)</f>
        <v/>
      </c>
      <c r="E93" s="28">
        <f>(IF(MOD((67/80*(C6+C7)),(C6+C7))&lt;C6,(C4*C8),(C5*C8)+((C4*C8)-(C5*C8))*EXP(-(MOD((67/80*(C6+C7)),(C6+C7))-C6)/(C9*C8))))*1000</f>
        <v/>
      </c>
      <c r="F93" s="27">
        <f>IF(AND(MOD((67/80*(C6+C7)),(C6+C7))&lt;C6,MOD((67/80*(C6+C7)),(C6+C7))&lt;C12),-ABS(C11)*SIN(PI()*MOD((67/80*(C6+C7)),(C6+C7))/C12),0)</f>
        <v/>
      </c>
      <c r="G93" s="27">
        <f>C5*(C10/(C8+C10))+(E93/1000)/C10+F93</f>
        <v/>
      </c>
      <c r="H93" s="27">
        <f>C93-G93</f>
        <v/>
      </c>
      <c r="I93" s="27">
        <f>C5+(E93/1000)/C8</f>
        <v/>
      </c>
    </row>
    <row r="94" ht="12.95" customHeight="1" s="44">
      <c r="B94" s="25">
        <f>(68/80*(C6+C7))</f>
        <v/>
      </c>
      <c r="C94" s="25">
        <f>IF(MOD((68/80*(C6+C7)),(C6+C7))&lt;C6,C4,C5)</f>
        <v/>
      </c>
      <c r="D94" s="25">
        <f>IF(MOD((68/80*(C6+C7)),(C6+C7))&lt;C6,0,-((C4*C8)-(C5*C8))/(C9*C8)*EXP(-(MOD((68/80*(C6+C7)),(C6+C7))-C6)/(C9*C8))*60)</f>
        <v/>
      </c>
      <c r="E94" s="26">
        <f>(IF(MOD((68/80*(C6+C7)),(C6+C7))&lt;C6,(C4*C8),(C5*C8)+((C4*C8)-(C5*C8))*EXP(-(MOD((68/80*(C6+C7)),(C6+C7))-C6)/(C9*C8))))*1000</f>
        <v/>
      </c>
      <c r="F94" s="25">
        <f>IF(AND(MOD((68/80*(C6+C7)),(C6+C7))&lt;C6,MOD((68/80*(C6+C7)),(C6+C7))&lt;C12),-ABS(C11)*SIN(PI()*MOD((68/80*(C6+C7)),(C6+C7))/C12),0)</f>
        <v/>
      </c>
      <c r="G94" s="25">
        <f>C5*(C10/(C8+C10))+(E94/1000)/C10+F94</f>
        <v/>
      </c>
      <c r="H94" s="25">
        <f>C94-G94</f>
        <v/>
      </c>
      <c r="I94" s="25">
        <f>C5+(E94/1000)/C8</f>
        <v/>
      </c>
    </row>
    <row r="95" ht="12.95" customHeight="1" s="44">
      <c r="B95" s="27">
        <f>(69/80*(C6+C7))</f>
        <v/>
      </c>
      <c r="C95" s="27">
        <f>IF(MOD((69/80*(C6+C7)),(C6+C7))&lt;C6,C4,C5)</f>
        <v/>
      </c>
      <c r="D95" s="27">
        <f>IF(MOD((69/80*(C6+C7)),(C6+C7))&lt;C6,0,-((C4*C8)-(C5*C8))/(C9*C8)*EXP(-(MOD((69/80*(C6+C7)),(C6+C7))-C6)/(C9*C8))*60)</f>
        <v/>
      </c>
      <c r="E95" s="28">
        <f>(IF(MOD((69/80*(C6+C7)),(C6+C7))&lt;C6,(C4*C8),(C5*C8)+((C4*C8)-(C5*C8))*EXP(-(MOD((69/80*(C6+C7)),(C6+C7))-C6)/(C9*C8))))*1000</f>
        <v/>
      </c>
      <c r="F95" s="27">
        <f>IF(AND(MOD((69/80*(C6+C7)),(C6+C7))&lt;C6,MOD((69/80*(C6+C7)),(C6+C7))&lt;C12),-ABS(C11)*SIN(PI()*MOD((69/80*(C6+C7)),(C6+C7))/C12),0)</f>
        <v/>
      </c>
      <c r="G95" s="27">
        <f>C5*(C10/(C8+C10))+(E95/1000)/C10+F95</f>
        <v/>
      </c>
      <c r="H95" s="27">
        <f>C95-G95</f>
        <v/>
      </c>
      <c r="I95" s="27">
        <f>C5+(E95/1000)/C8</f>
        <v/>
      </c>
    </row>
    <row r="96" ht="12.95" customHeight="1" s="44">
      <c r="B96" s="25">
        <f>(70/80*(C6+C7))</f>
        <v/>
      </c>
      <c r="C96" s="25">
        <f>IF(MOD((70/80*(C6+C7)),(C6+C7))&lt;C6,C4,C5)</f>
        <v/>
      </c>
      <c r="D96" s="25">
        <f>IF(MOD((70/80*(C6+C7)),(C6+C7))&lt;C6,0,-((C4*C8)-(C5*C8))/(C9*C8)*EXP(-(MOD((70/80*(C6+C7)),(C6+C7))-C6)/(C9*C8))*60)</f>
        <v/>
      </c>
      <c r="E96" s="26">
        <f>(IF(MOD((70/80*(C6+C7)),(C6+C7))&lt;C6,(C4*C8),(C5*C8)+((C4*C8)-(C5*C8))*EXP(-(MOD((70/80*(C6+C7)),(C6+C7))-C6)/(C9*C8))))*1000</f>
        <v/>
      </c>
      <c r="F96" s="25">
        <f>IF(AND(MOD((70/80*(C6+C7)),(C6+C7))&lt;C6,MOD((70/80*(C6+C7)),(C6+C7))&lt;C12),-ABS(C11)*SIN(PI()*MOD((70/80*(C6+C7)),(C6+C7))/C12),0)</f>
        <v/>
      </c>
      <c r="G96" s="25">
        <f>C5*(C10/(C8+C10))+(E96/1000)/C10+F96</f>
        <v/>
      </c>
      <c r="H96" s="25">
        <f>C96-G96</f>
        <v/>
      </c>
      <c r="I96" s="25">
        <f>C5+(E96/1000)/C8</f>
        <v/>
      </c>
    </row>
    <row r="97" ht="12.95" customHeight="1" s="44">
      <c r="B97" s="27">
        <f>(71/80*(C6+C7))</f>
        <v/>
      </c>
      <c r="C97" s="27">
        <f>IF(MOD((71/80*(C6+C7)),(C6+C7))&lt;C6,C4,C5)</f>
        <v/>
      </c>
      <c r="D97" s="27">
        <f>IF(MOD((71/80*(C6+C7)),(C6+C7))&lt;C6,0,-((C4*C8)-(C5*C8))/(C9*C8)*EXP(-(MOD((71/80*(C6+C7)),(C6+C7))-C6)/(C9*C8))*60)</f>
        <v/>
      </c>
      <c r="E97" s="28">
        <f>(IF(MOD((71/80*(C6+C7)),(C6+C7))&lt;C6,(C4*C8),(C5*C8)+((C4*C8)-(C5*C8))*EXP(-(MOD((71/80*(C6+C7)),(C6+C7))-C6)/(C9*C8))))*1000</f>
        <v/>
      </c>
      <c r="F97" s="27">
        <f>IF(AND(MOD((71/80*(C6+C7)),(C6+C7))&lt;C6,MOD((71/80*(C6+C7)),(C6+C7))&lt;C12),-ABS(C11)*SIN(PI()*MOD((71/80*(C6+C7)),(C6+C7))/C12),0)</f>
        <v/>
      </c>
      <c r="G97" s="27">
        <f>C5*(C10/(C8+C10))+(E97/1000)/C10+F97</f>
        <v/>
      </c>
      <c r="H97" s="27">
        <f>C97-G97</f>
        <v/>
      </c>
      <c r="I97" s="27">
        <f>C5+(E97/1000)/C8</f>
        <v/>
      </c>
    </row>
    <row r="98" ht="12.95" customHeight="1" s="44">
      <c r="B98" s="25">
        <f>(72/80*(C6+C7))</f>
        <v/>
      </c>
      <c r="C98" s="25">
        <f>IF(MOD((72/80*(C6+C7)),(C6+C7))&lt;C6,C4,C5)</f>
        <v/>
      </c>
      <c r="D98" s="25">
        <f>IF(MOD((72/80*(C6+C7)),(C6+C7))&lt;C6,0,-((C4*C8)-(C5*C8))/(C9*C8)*EXP(-(MOD((72/80*(C6+C7)),(C6+C7))-C6)/(C9*C8))*60)</f>
        <v/>
      </c>
      <c r="E98" s="26">
        <f>(IF(MOD((72/80*(C6+C7)),(C6+C7))&lt;C6,(C4*C8),(C5*C8)+((C4*C8)-(C5*C8))*EXP(-(MOD((72/80*(C6+C7)),(C6+C7))-C6)/(C9*C8))))*1000</f>
        <v/>
      </c>
      <c r="F98" s="25">
        <f>IF(AND(MOD((72/80*(C6+C7)),(C6+C7))&lt;C6,MOD((72/80*(C6+C7)),(C6+C7))&lt;C12),-ABS(C11)*SIN(PI()*MOD((72/80*(C6+C7)),(C6+C7))/C12),0)</f>
        <v/>
      </c>
      <c r="G98" s="25">
        <f>C5*(C10/(C8+C10))+(E98/1000)/C10+F98</f>
        <v/>
      </c>
      <c r="H98" s="25">
        <f>C98-G98</f>
        <v/>
      </c>
      <c r="I98" s="25">
        <f>C5+(E98/1000)/C8</f>
        <v/>
      </c>
    </row>
    <row r="99" ht="12.95" customHeight="1" s="44">
      <c r="B99" s="27">
        <f>(73/80*(C6+C7))</f>
        <v/>
      </c>
      <c r="C99" s="27">
        <f>IF(MOD((73/80*(C6+C7)),(C6+C7))&lt;C6,C4,C5)</f>
        <v/>
      </c>
      <c r="D99" s="27">
        <f>IF(MOD((73/80*(C6+C7)),(C6+C7))&lt;C6,0,-((C4*C8)-(C5*C8))/(C9*C8)*EXP(-(MOD((73/80*(C6+C7)),(C6+C7))-C6)/(C9*C8))*60)</f>
        <v/>
      </c>
      <c r="E99" s="28">
        <f>(IF(MOD((73/80*(C6+C7)),(C6+C7))&lt;C6,(C4*C8),(C5*C8)+((C4*C8)-(C5*C8))*EXP(-(MOD((73/80*(C6+C7)),(C6+C7))-C6)/(C9*C8))))*1000</f>
        <v/>
      </c>
      <c r="F99" s="27">
        <f>IF(AND(MOD((73/80*(C6+C7)),(C6+C7))&lt;C6,MOD((73/80*(C6+C7)),(C6+C7))&lt;C12),-ABS(C11)*SIN(PI()*MOD((73/80*(C6+C7)),(C6+C7))/C12),0)</f>
        <v/>
      </c>
      <c r="G99" s="27">
        <f>C5*(C10/(C8+C10))+(E99/1000)/C10+F99</f>
        <v/>
      </c>
      <c r="H99" s="27">
        <f>C99-G99</f>
        <v/>
      </c>
      <c r="I99" s="27">
        <f>C5+(E99/1000)/C8</f>
        <v/>
      </c>
    </row>
    <row r="100" ht="12.95" customHeight="1" s="44">
      <c r="B100" s="25">
        <f>(74/80*(C6+C7))</f>
        <v/>
      </c>
      <c r="C100" s="25">
        <f>IF(MOD((74/80*(C6+C7)),(C6+C7))&lt;C6,C4,C5)</f>
        <v/>
      </c>
      <c r="D100" s="25">
        <f>IF(MOD((74/80*(C6+C7)),(C6+C7))&lt;C6,0,-((C4*C8)-(C5*C8))/(C9*C8)*EXP(-(MOD((74/80*(C6+C7)),(C6+C7))-C6)/(C9*C8))*60)</f>
        <v/>
      </c>
      <c r="E100" s="26">
        <f>(IF(MOD((74/80*(C6+C7)),(C6+C7))&lt;C6,(C4*C8),(C5*C8)+((C4*C8)-(C5*C8))*EXP(-(MOD((74/80*(C6+C7)),(C6+C7))-C6)/(C9*C8))))*1000</f>
        <v/>
      </c>
      <c r="F100" s="25">
        <f>IF(AND(MOD((74/80*(C6+C7)),(C6+C7))&lt;C6,MOD((74/80*(C6+C7)),(C6+C7))&lt;C12),-ABS(C11)*SIN(PI()*MOD((74/80*(C6+C7)),(C6+C7))/C12),0)</f>
        <v/>
      </c>
      <c r="G100" s="25">
        <f>C5*(C10/(C8+C10))+(E100/1000)/C10+F100</f>
        <v/>
      </c>
      <c r="H100" s="25">
        <f>C100-G100</f>
        <v/>
      </c>
      <c r="I100" s="25">
        <f>C5+(E100/1000)/C8</f>
        <v/>
      </c>
    </row>
    <row r="101" ht="12.95" customHeight="1" s="44">
      <c r="B101" s="27">
        <f>(75/80*(C6+C7))</f>
        <v/>
      </c>
      <c r="C101" s="27">
        <f>IF(MOD((75/80*(C6+C7)),(C6+C7))&lt;C6,C4,C5)</f>
        <v/>
      </c>
      <c r="D101" s="27">
        <f>IF(MOD((75/80*(C6+C7)),(C6+C7))&lt;C6,0,-((C4*C8)-(C5*C8))/(C9*C8)*EXP(-(MOD((75/80*(C6+C7)),(C6+C7))-C6)/(C9*C8))*60)</f>
        <v/>
      </c>
      <c r="E101" s="28">
        <f>(IF(MOD((75/80*(C6+C7)),(C6+C7))&lt;C6,(C4*C8),(C5*C8)+((C4*C8)-(C5*C8))*EXP(-(MOD((75/80*(C6+C7)),(C6+C7))-C6)/(C9*C8))))*1000</f>
        <v/>
      </c>
      <c r="F101" s="27">
        <f>IF(AND(MOD((75/80*(C6+C7)),(C6+C7))&lt;C6,MOD((75/80*(C6+C7)),(C6+C7))&lt;C12),-ABS(C11)*SIN(PI()*MOD((75/80*(C6+C7)),(C6+C7))/C12),0)</f>
        <v/>
      </c>
      <c r="G101" s="27">
        <f>C5*(C10/(C8+C10))+(E101/1000)/C10+F101</f>
        <v/>
      </c>
      <c r="H101" s="27">
        <f>C101-G101</f>
        <v/>
      </c>
      <c r="I101" s="27">
        <f>C5+(E101/1000)/C8</f>
        <v/>
      </c>
    </row>
    <row r="102" ht="12.95" customHeight="1" s="44">
      <c r="B102" s="25">
        <f>(76/80*(C6+C7))</f>
        <v/>
      </c>
      <c r="C102" s="25">
        <f>IF(MOD((76/80*(C6+C7)),(C6+C7))&lt;C6,C4,C5)</f>
        <v/>
      </c>
      <c r="D102" s="25">
        <f>IF(MOD((76/80*(C6+C7)),(C6+C7))&lt;C6,0,-((C4*C8)-(C5*C8))/(C9*C8)*EXP(-(MOD((76/80*(C6+C7)),(C6+C7))-C6)/(C9*C8))*60)</f>
        <v/>
      </c>
      <c r="E102" s="26">
        <f>(IF(MOD((76/80*(C6+C7)),(C6+C7))&lt;C6,(C4*C8),(C5*C8)+((C4*C8)-(C5*C8))*EXP(-(MOD((76/80*(C6+C7)),(C6+C7))-C6)/(C9*C8))))*1000</f>
        <v/>
      </c>
      <c r="F102" s="25">
        <f>IF(AND(MOD((76/80*(C6+C7)),(C6+C7))&lt;C6,MOD((76/80*(C6+C7)),(C6+C7))&lt;C12),-ABS(C11)*SIN(PI()*MOD((76/80*(C6+C7)),(C6+C7))/C12),0)</f>
        <v/>
      </c>
      <c r="G102" s="25">
        <f>C5*(C10/(C8+C10))+(E102/1000)/C10+F102</f>
        <v/>
      </c>
      <c r="H102" s="25">
        <f>C102-G102</f>
        <v/>
      </c>
      <c r="I102" s="25">
        <f>C5+(E102/1000)/C8</f>
        <v/>
      </c>
    </row>
    <row r="103" ht="12.95" customHeight="1" s="44">
      <c r="B103" s="27">
        <f>(77/80*(C6+C7))</f>
        <v/>
      </c>
      <c r="C103" s="27">
        <f>IF(MOD((77/80*(C6+C7)),(C6+C7))&lt;C6,C4,C5)</f>
        <v/>
      </c>
      <c r="D103" s="27">
        <f>IF(MOD((77/80*(C6+C7)),(C6+C7))&lt;C6,0,-((C4*C8)-(C5*C8))/(C9*C8)*EXP(-(MOD((77/80*(C6+C7)),(C6+C7))-C6)/(C9*C8))*60)</f>
        <v/>
      </c>
      <c r="E103" s="28">
        <f>(IF(MOD((77/80*(C6+C7)),(C6+C7))&lt;C6,(C4*C8),(C5*C8)+((C4*C8)-(C5*C8))*EXP(-(MOD((77/80*(C6+C7)),(C6+C7))-C6)/(C9*C8))))*1000</f>
        <v/>
      </c>
      <c r="F103" s="27">
        <f>IF(AND(MOD((77/80*(C6+C7)),(C6+C7))&lt;C6,MOD((77/80*(C6+C7)),(C6+C7))&lt;C12),-ABS(C11)*SIN(PI()*MOD((77/80*(C6+C7)),(C6+C7))/C12),0)</f>
        <v/>
      </c>
      <c r="G103" s="27">
        <f>C5*(C10/(C8+C10))+(E103/1000)/C10+F103</f>
        <v/>
      </c>
      <c r="H103" s="27">
        <f>C103-G103</f>
        <v/>
      </c>
      <c r="I103" s="27">
        <f>C5+(E103/1000)/C8</f>
        <v/>
      </c>
    </row>
    <row r="104" ht="12.95" customHeight="1" s="44">
      <c r="B104" s="25">
        <f>(78/80*(C6+C7))</f>
        <v/>
      </c>
      <c r="C104" s="25">
        <f>IF(MOD((78/80*(C6+C7)),(C6+C7))&lt;C6,C4,C5)</f>
        <v/>
      </c>
      <c r="D104" s="25">
        <f>IF(MOD((78/80*(C6+C7)),(C6+C7))&lt;C6,0,-((C4*C8)-(C5*C8))/(C9*C8)*EXP(-(MOD((78/80*(C6+C7)),(C6+C7))-C6)/(C9*C8))*60)</f>
        <v/>
      </c>
      <c r="E104" s="26">
        <f>(IF(MOD((78/80*(C6+C7)),(C6+C7))&lt;C6,(C4*C8),(C5*C8)+((C4*C8)-(C5*C8))*EXP(-(MOD((78/80*(C6+C7)),(C6+C7))-C6)/(C9*C8))))*1000</f>
        <v/>
      </c>
      <c r="F104" s="25">
        <f>IF(AND(MOD((78/80*(C6+C7)),(C6+C7))&lt;C6,MOD((78/80*(C6+C7)),(C6+C7))&lt;C12),-ABS(C11)*SIN(PI()*MOD((78/80*(C6+C7)),(C6+C7))/C12),0)</f>
        <v/>
      </c>
      <c r="G104" s="25">
        <f>C5*(C10/(C8+C10))+(E104/1000)/C10+F104</f>
        <v/>
      </c>
      <c r="H104" s="25">
        <f>C104-G104</f>
        <v/>
      </c>
      <c r="I104" s="25">
        <f>C5+(E104/1000)/C8</f>
        <v/>
      </c>
    </row>
    <row r="105" ht="12.95" customHeight="1" s="44">
      <c r="B105" s="27">
        <f>(79/80*(C6+C7))</f>
        <v/>
      </c>
      <c r="C105" s="27">
        <f>IF(MOD((79/80*(C6+C7)),(C6+C7))&lt;C6,C4,C5)</f>
        <v/>
      </c>
      <c r="D105" s="27">
        <f>IF(MOD((79/80*(C6+C7)),(C6+C7))&lt;C6,0,-((C4*C8)-(C5*C8))/(C9*C8)*EXP(-(MOD((79/80*(C6+C7)),(C6+C7))-C6)/(C9*C8))*60)</f>
        <v/>
      </c>
      <c r="E105" s="28">
        <f>(IF(MOD((79/80*(C6+C7)),(C6+C7))&lt;C6,(C4*C8),(C5*C8)+((C4*C8)-(C5*C8))*EXP(-(MOD((79/80*(C6+C7)),(C6+C7))-C6)/(C9*C8))))*1000</f>
        <v/>
      </c>
      <c r="F105" s="27">
        <f>IF(AND(MOD((79/80*(C6+C7)),(C6+C7))&lt;C6,MOD((79/80*(C6+C7)),(C6+C7))&lt;C12),-ABS(C11)*SIN(PI()*MOD((79/80*(C6+C7)),(C6+C7))/C12),0)</f>
        <v/>
      </c>
      <c r="G105" s="27">
        <f>C5*(C10/(C8+C10))+(E105/1000)/C10+F105</f>
        <v/>
      </c>
      <c r="H105" s="27">
        <f>C105-G105</f>
        <v/>
      </c>
      <c r="I105" s="27">
        <f>C5+(E105/1000)/C8</f>
        <v/>
      </c>
    </row>
    <row r="106" ht="12.95" customHeight="1" s="44">
      <c r="B106" s="25">
        <f>(80/80*(C6+C7))</f>
        <v/>
      </c>
      <c r="C106" s="25">
        <f>IF(MOD((80/80*(C6+C7)),(C6+C7))&lt;C6,C4,C5)</f>
        <v/>
      </c>
      <c r="D106" s="25">
        <f>IF(MOD((80/80*(C6+C7)),(C6+C7))&lt;C6,0,-((C4*C8)-(C5*C8))/(C9*C8)*EXP(-(MOD((80/80*(C6+C7)),(C6+C7))-C6)/(C9*C8))*60)</f>
        <v/>
      </c>
      <c r="E106" s="26">
        <f>(IF(MOD((80/80*(C6+C7)),(C6+C7))&lt;C6,(C4*C8),(C5*C8)+((C4*C8)-(C5*C8))*EXP(-(MOD((80/80*(C6+C7)),(C6+C7))-C6)/(C9*C8))))*1000</f>
        <v/>
      </c>
      <c r="F106" s="25">
        <f>IF(AND(MOD((80/80*(C6+C7)),(C6+C7))&lt;C6,MOD((80/80*(C6+C7)),(C6+C7))&lt;C12),-ABS(C11)*SIN(PI()*MOD((80/80*(C6+C7)),(C6+C7))/C12),0)</f>
        <v/>
      </c>
      <c r="G106" s="25">
        <f>C5*(C10/(C8+C10))+(E106/1000)/C10+F106</f>
        <v/>
      </c>
      <c r="H106" s="25">
        <f>C106-G106</f>
        <v/>
      </c>
      <c r="I106" s="25">
        <f>C5+(E106/1000)/C8</f>
        <v/>
      </c>
    </row>
    <row r="107" ht="12.95" customHeight="1" s="44">
      <c r="B107" s="27">
        <f>(81/80*(C6+C7))</f>
        <v/>
      </c>
      <c r="C107" s="27">
        <f>IF(MOD((81/80*(C6+C7)),(C6+C7))&lt;C6,C4,C5)</f>
        <v/>
      </c>
      <c r="D107" s="27">
        <f>IF(MOD((81/80*(C6+C7)),(C6+C7))&lt;C6,0,-((C4*C8)-(C5*C8))/(C9*C8)*EXP(-(MOD((81/80*(C6+C7)),(C6+C7))-C6)/(C9*C8))*60)</f>
        <v/>
      </c>
      <c r="E107" s="28">
        <f>(IF(MOD((81/80*(C6+C7)),(C6+C7))&lt;C6,(C4*C8),(C5*C8)+((C4*C8)-(C5*C8))*EXP(-(MOD((81/80*(C6+C7)),(C6+C7))-C6)/(C9*C8))))*1000</f>
        <v/>
      </c>
      <c r="F107" s="27">
        <f>IF(AND(MOD((81/80*(C6+C7)),(C6+C7))&lt;C6,MOD((81/80*(C6+C7)),(C6+C7))&lt;C12),-ABS(C11)*SIN(PI()*MOD((81/80*(C6+C7)),(C6+C7))/C12),0)</f>
        <v/>
      </c>
      <c r="G107" s="27">
        <f>C5*(C10/(C8+C10))+(E107/1000)/C10+F107</f>
        <v/>
      </c>
      <c r="H107" s="27">
        <f>C107-G107</f>
        <v/>
      </c>
      <c r="I107" s="27">
        <f>C5+(E107/1000)/C8</f>
        <v/>
      </c>
    </row>
    <row r="108" ht="12.95" customHeight="1" s="44">
      <c r="B108" s="25">
        <f>(82/80*(C6+C7))</f>
        <v/>
      </c>
      <c r="C108" s="25">
        <f>IF(MOD((82/80*(C6+C7)),(C6+C7))&lt;C6,C4,C5)</f>
        <v/>
      </c>
      <c r="D108" s="25">
        <f>IF(MOD((82/80*(C6+C7)),(C6+C7))&lt;C6,0,-((C4*C8)-(C5*C8))/(C9*C8)*EXP(-(MOD((82/80*(C6+C7)),(C6+C7))-C6)/(C9*C8))*60)</f>
        <v/>
      </c>
      <c r="E108" s="26">
        <f>(IF(MOD((82/80*(C6+C7)),(C6+C7))&lt;C6,(C4*C8),(C5*C8)+((C4*C8)-(C5*C8))*EXP(-(MOD((82/80*(C6+C7)),(C6+C7))-C6)/(C9*C8))))*1000</f>
        <v/>
      </c>
      <c r="F108" s="25">
        <f>IF(AND(MOD((82/80*(C6+C7)),(C6+C7))&lt;C6,MOD((82/80*(C6+C7)),(C6+C7))&lt;C12),-ABS(C11)*SIN(PI()*MOD((82/80*(C6+C7)),(C6+C7))/C12),0)</f>
        <v/>
      </c>
      <c r="G108" s="25">
        <f>C5*(C10/(C8+C10))+(E108/1000)/C10+F108</f>
        <v/>
      </c>
      <c r="H108" s="25">
        <f>C108-G108</f>
        <v/>
      </c>
      <c r="I108" s="25">
        <f>C5+(E108/1000)/C8</f>
        <v/>
      </c>
    </row>
    <row r="109" ht="12.95" customHeight="1" s="44">
      <c r="B109" s="27">
        <f>(83/80*(C6+C7))</f>
        <v/>
      </c>
      <c r="C109" s="27">
        <f>IF(MOD((83/80*(C6+C7)),(C6+C7))&lt;C6,C4,C5)</f>
        <v/>
      </c>
      <c r="D109" s="27">
        <f>IF(MOD((83/80*(C6+C7)),(C6+C7))&lt;C6,0,-((C4*C8)-(C5*C8))/(C9*C8)*EXP(-(MOD((83/80*(C6+C7)),(C6+C7))-C6)/(C9*C8))*60)</f>
        <v/>
      </c>
      <c r="E109" s="28">
        <f>(IF(MOD((83/80*(C6+C7)),(C6+C7))&lt;C6,(C4*C8),(C5*C8)+((C4*C8)-(C5*C8))*EXP(-(MOD((83/80*(C6+C7)),(C6+C7))-C6)/(C9*C8))))*1000</f>
        <v/>
      </c>
      <c r="F109" s="27">
        <f>IF(AND(MOD((83/80*(C6+C7)),(C6+C7))&lt;C6,MOD((83/80*(C6+C7)),(C6+C7))&lt;C12),-ABS(C11)*SIN(PI()*MOD((83/80*(C6+C7)),(C6+C7))/C12),0)</f>
        <v/>
      </c>
      <c r="G109" s="27">
        <f>C5*(C10/(C8+C10))+(E109/1000)/C10+F109</f>
        <v/>
      </c>
      <c r="H109" s="27">
        <f>C109-G109</f>
        <v/>
      </c>
      <c r="I109" s="27">
        <f>C5+(E109/1000)/C8</f>
        <v/>
      </c>
    </row>
    <row r="110" ht="12.95" customHeight="1" s="44">
      <c r="B110" s="25">
        <f>(84/80*(C6+C7))</f>
        <v/>
      </c>
      <c r="C110" s="25">
        <f>IF(MOD((84/80*(C6+C7)),(C6+C7))&lt;C6,C4,C5)</f>
        <v/>
      </c>
      <c r="D110" s="25">
        <f>IF(MOD((84/80*(C6+C7)),(C6+C7))&lt;C6,0,-((C4*C8)-(C5*C8))/(C9*C8)*EXP(-(MOD((84/80*(C6+C7)),(C6+C7))-C6)/(C9*C8))*60)</f>
        <v/>
      </c>
      <c r="E110" s="26">
        <f>(IF(MOD((84/80*(C6+C7)),(C6+C7))&lt;C6,(C4*C8),(C5*C8)+((C4*C8)-(C5*C8))*EXP(-(MOD((84/80*(C6+C7)),(C6+C7))-C6)/(C9*C8))))*1000</f>
        <v/>
      </c>
      <c r="F110" s="25">
        <f>IF(AND(MOD((84/80*(C6+C7)),(C6+C7))&lt;C6,MOD((84/80*(C6+C7)),(C6+C7))&lt;C12),-ABS(C11)*SIN(PI()*MOD((84/80*(C6+C7)),(C6+C7))/C12),0)</f>
        <v/>
      </c>
      <c r="G110" s="25">
        <f>C5*(C10/(C8+C10))+(E110/1000)/C10+F110</f>
        <v/>
      </c>
      <c r="H110" s="25">
        <f>C110-G110</f>
        <v/>
      </c>
      <c r="I110" s="25">
        <f>C5+(E110/1000)/C8</f>
        <v/>
      </c>
    </row>
    <row r="111" ht="12.95" customHeight="1" s="44">
      <c r="B111" s="27">
        <f>(85/80*(C6+C7))</f>
        <v/>
      </c>
      <c r="C111" s="27">
        <f>IF(MOD((85/80*(C6+C7)),(C6+C7))&lt;C6,C4,C5)</f>
        <v/>
      </c>
      <c r="D111" s="27">
        <f>IF(MOD((85/80*(C6+C7)),(C6+C7))&lt;C6,0,-((C4*C8)-(C5*C8))/(C9*C8)*EXP(-(MOD((85/80*(C6+C7)),(C6+C7))-C6)/(C9*C8))*60)</f>
        <v/>
      </c>
      <c r="E111" s="28">
        <f>(IF(MOD((85/80*(C6+C7)),(C6+C7))&lt;C6,(C4*C8),(C5*C8)+((C4*C8)-(C5*C8))*EXP(-(MOD((85/80*(C6+C7)),(C6+C7))-C6)/(C9*C8))))*1000</f>
        <v/>
      </c>
      <c r="F111" s="27">
        <f>IF(AND(MOD((85/80*(C6+C7)),(C6+C7))&lt;C6,MOD((85/80*(C6+C7)),(C6+C7))&lt;C12),-ABS(C11)*SIN(PI()*MOD((85/80*(C6+C7)),(C6+C7))/C12),0)</f>
        <v/>
      </c>
      <c r="G111" s="27">
        <f>C5*(C10/(C8+C10))+(E111/1000)/C10+F111</f>
        <v/>
      </c>
      <c r="H111" s="27">
        <f>C111-G111</f>
        <v/>
      </c>
      <c r="I111" s="27">
        <f>C5+(E111/1000)/C8</f>
        <v/>
      </c>
    </row>
    <row r="112" ht="12.95" customHeight="1" s="44">
      <c r="B112" s="25">
        <f>(86/80*(C6+C7))</f>
        <v/>
      </c>
      <c r="C112" s="25">
        <f>IF(MOD((86/80*(C6+C7)),(C6+C7))&lt;C6,C4,C5)</f>
        <v/>
      </c>
      <c r="D112" s="25">
        <f>IF(MOD((86/80*(C6+C7)),(C6+C7))&lt;C6,0,-((C4*C8)-(C5*C8))/(C9*C8)*EXP(-(MOD((86/80*(C6+C7)),(C6+C7))-C6)/(C9*C8))*60)</f>
        <v/>
      </c>
      <c r="E112" s="26">
        <f>(IF(MOD((86/80*(C6+C7)),(C6+C7))&lt;C6,(C4*C8),(C5*C8)+((C4*C8)-(C5*C8))*EXP(-(MOD((86/80*(C6+C7)),(C6+C7))-C6)/(C9*C8))))*1000</f>
        <v/>
      </c>
      <c r="F112" s="25">
        <f>IF(AND(MOD((86/80*(C6+C7)),(C6+C7))&lt;C6,MOD((86/80*(C6+C7)),(C6+C7))&lt;C12),-ABS(C11)*SIN(PI()*MOD((86/80*(C6+C7)),(C6+C7))/C12),0)</f>
        <v/>
      </c>
      <c r="G112" s="25">
        <f>C5*(C10/(C8+C10))+(E112/1000)/C10+F112</f>
        <v/>
      </c>
      <c r="H112" s="25">
        <f>C112-G112</f>
        <v/>
      </c>
      <c r="I112" s="25">
        <f>C5+(E112/1000)/C8</f>
        <v/>
      </c>
    </row>
    <row r="113" ht="12.95" customHeight="1" s="44">
      <c r="B113" s="27">
        <f>(87/80*(C6+C7))</f>
        <v/>
      </c>
      <c r="C113" s="27">
        <f>IF(MOD((87/80*(C6+C7)),(C6+C7))&lt;C6,C4,C5)</f>
        <v/>
      </c>
      <c r="D113" s="27">
        <f>IF(MOD((87/80*(C6+C7)),(C6+C7))&lt;C6,0,-((C4*C8)-(C5*C8))/(C9*C8)*EXP(-(MOD((87/80*(C6+C7)),(C6+C7))-C6)/(C9*C8))*60)</f>
        <v/>
      </c>
      <c r="E113" s="28">
        <f>(IF(MOD((87/80*(C6+C7)),(C6+C7))&lt;C6,(C4*C8),(C5*C8)+((C4*C8)-(C5*C8))*EXP(-(MOD((87/80*(C6+C7)),(C6+C7))-C6)/(C9*C8))))*1000</f>
        <v/>
      </c>
      <c r="F113" s="27">
        <f>IF(AND(MOD((87/80*(C6+C7)),(C6+C7))&lt;C6,MOD((87/80*(C6+C7)),(C6+C7))&lt;C12),-ABS(C11)*SIN(PI()*MOD((87/80*(C6+C7)),(C6+C7))/C12),0)</f>
        <v/>
      </c>
      <c r="G113" s="27">
        <f>C5*(C10/(C8+C10))+(E113/1000)/C10+F113</f>
        <v/>
      </c>
      <c r="H113" s="27">
        <f>C113-G113</f>
        <v/>
      </c>
      <c r="I113" s="27">
        <f>C5+(E113/1000)/C8</f>
        <v/>
      </c>
    </row>
    <row r="114" ht="12.95" customHeight="1" s="44">
      <c r="B114" s="25">
        <f>(88/80*(C6+C7))</f>
        <v/>
      </c>
      <c r="C114" s="25">
        <f>IF(MOD((88/80*(C6+C7)),(C6+C7))&lt;C6,C4,C5)</f>
        <v/>
      </c>
      <c r="D114" s="25">
        <f>IF(MOD((88/80*(C6+C7)),(C6+C7))&lt;C6,0,-((C4*C8)-(C5*C8))/(C9*C8)*EXP(-(MOD((88/80*(C6+C7)),(C6+C7))-C6)/(C9*C8))*60)</f>
        <v/>
      </c>
      <c r="E114" s="26">
        <f>(IF(MOD((88/80*(C6+C7)),(C6+C7))&lt;C6,(C4*C8),(C5*C8)+((C4*C8)-(C5*C8))*EXP(-(MOD((88/80*(C6+C7)),(C6+C7))-C6)/(C9*C8))))*1000</f>
        <v/>
      </c>
      <c r="F114" s="25">
        <f>IF(AND(MOD((88/80*(C6+C7)),(C6+C7))&lt;C6,MOD((88/80*(C6+C7)),(C6+C7))&lt;C12),-ABS(C11)*SIN(PI()*MOD((88/80*(C6+C7)),(C6+C7))/C12),0)</f>
        <v/>
      </c>
      <c r="G114" s="25">
        <f>C5*(C10/(C8+C10))+(E114/1000)/C10+F114</f>
        <v/>
      </c>
      <c r="H114" s="25">
        <f>C114-G114</f>
        <v/>
      </c>
      <c r="I114" s="25">
        <f>C5+(E114/1000)/C8</f>
        <v/>
      </c>
    </row>
    <row r="115" ht="12.95" customHeight="1" s="44">
      <c r="B115" s="27">
        <f>(89/80*(C6+C7))</f>
        <v/>
      </c>
      <c r="C115" s="27">
        <f>IF(MOD((89/80*(C6+C7)),(C6+C7))&lt;C6,C4,C5)</f>
        <v/>
      </c>
      <c r="D115" s="27">
        <f>IF(MOD((89/80*(C6+C7)),(C6+C7))&lt;C6,0,-((C4*C8)-(C5*C8))/(C9*C8)*EXP(-(MOD((89/80*(C6+C7)),(C6+C7))-C6)/(C9*C8))*60)</f>
        <v/>
      </c>
      <c r="E115" s="28">
        <f>(IF(MOD((89/80*(C6+C7)),(C6+C7))&lt;C6,(C4*C8),(C5*C8)+((C4*C8)-(C5*C8))*EXP(-(MOD((89/80*(C6+C7)),(C6+C7))-C6)/(C9*C8))))*1000</f>
        <v/>
      </c>
      <c r="F115" s="27">
        <f>IF(AND(MOD((89/80*(C6+C7)),(C6+C7))&lt;C6,MOD((89/80*(C6+C7)),(C6+C7))&lt;C12),-ABS(C11)*SIN(PI()*MOD((89/80*(C6+C7)),(C6+C7))/C12),0)</f>
        <v/>
      </c>
      <c r="G115" s="27">
        <f>C5*(C10/(C8+C10))+(E115/1000)/C10+F115</f>
        <v/>
      </c>
      <c r="H115" s="27">
        <f>C115-G115</f>
        <v/>
      </c>
      <c r="I115" s="27">
        <f>C5+(E115/1000)/C8</f>
        <v/>
      </c>
    </row>
    <row r="116" ht="12.95" customHeight="1" s="44">
      <c r="B116" s="25">
        <f>(90/80*(C6+C7))</f>
        <v/>
      </c>
      <c r="C116" s="25">
        <f>IF(MOD((90/80*(C6+C7)),(C6+C7))&lt;C6,C4,C5)</f>
        <v/>
      </c>
      <c r="D116" s="25">
        <f>IF(MOD((90/80*(C6+C7)),(C6+C7))&lt;C6,0,-((C4*C8)-(C5*C8))/(C9*C8)*EXP(-(MOD((90/80*(C6+C7)),(C6+C7))-C6)/(C9*C8))*60)</f>
        <v/>
      </c>
      <c r="E116" s="26">
        <f>(IF(MOD((90/80*(C6+C7)),(C6+C7))&lt;C6,(C4*C8),(C5*C8)+((C4*C8)-(C5*C8))*EXP(-(MOD((90/80*(C6+C7)),(C6+C7))-C6)/(C9*C8))))*1000</f>
        <v/>
      </c>
      <c r="F116" s="25">
        <f>IF(AND(MOD((90/80*(C6+C7)),(C6+C7))&lt;C6,MOD((90/80*(C6+C7)),(C6+C7))&lt;C12),-ABS(C11)*SIN(PI()*MOD((90/80*(C6+C7)),(C6+C7))/C12),0)</f>
        <v/>
      </c>
      <c r="G116" s="25">
        <f>C5*(C10/(C8+C10))+(E116/1000)/C10+F116</f>
        <v/>
      </c>
      <c r="H116" s="25">
        <f>C116-G116</f>
        <v/>
      </c>
      <c r="I116" s="25">
        <f>C5+(E116/1000)/C8</f>
        <v/>
      </c>
    </row>
    <row r="117" ht="12.95" customHeight="1" s="44">
      <c r="B117" s="27">
        <f>(91/80*(C6+C7))</f>
        <v/>
      </c>
      <c r="C117" s="27">
        <f>IF(MOD((91/80*(C6+C7)),(C6+C7))&lt;C6,C4,C5)</f>
        <v/>
      </c>
      <c r="D117" s="27">
        <f>IF(MOD((91/80*(C6+C7)),(C6+C7))&lt;C6,0,-((C4*C8)-(C5*C8))/(C9*C8)*EXP(-(MOD((91/80*(C6+C7)),(C6+C7))-C6)/(C9*C8))*60)</f>
        <v/>
      </c>
      <c r="E117" s="28">
        <f>(IF(MOD((91/80*(C6+C7)),(C6+C7))&lt;C6,(C4*C8),(C5*C8)+((C4*C8)-(C5*C8))*EXP(-(MOD((91/80*(C6+C7)),(C6+C7))-C6)/(C9*C8))))*1000</f>
        <v/>
      </c>
      <c r="F117" s="27">
        <f>IF(AND(MOD((91/80*(C6+C7)),(C6+C7))&lt;C6,MOD((91/80*(C6+C7)),(C6+C7))&lt;C12),-ABS(C11)*SIN(PI()*MOD((91/80*(C6+C7)),(C6+C7))/C12),0)</f>
        <v/>
      </c>
      <c r="G117" s="27">
        <f>C5*(C10/(C8+C10))+(E117/1000)/C10+F117</f>
        <v/>
      </c>
      <c r="H117" s="27">
        <f>C117-G117</f>
        <v/>
      </c>
      <c r="I117" s="27">
        <f>C5+(E117/1000)/C8</f>
        <v/>
      </c>
    </row>
    <row r="118" ht="12.95" customHeight="1" s="44">
      <c r="B118" s="25">
        <f>(92/80*(C6+C7))</f>
        <v/>
      </c>
      <c r="C118" s="25">
        <f>IF(MOD((92/80*(C6+C7)),(C6+C7))&lt;C6,C4,C5)</f>
        <v/>
      </c>
      <c r="D118" s="25">
        <f>IF(MOD((92/80*(C6+C7)),(C6+C7))&lt;C6,0,-((C4*C8)-(C5*C8))/(C9*C8)*EXP(-(MOD((92/80*(C6+C7)),(C6+C7))-C6)/(C9*C8))*60)</f>
        <v/>
      </c>
      <c r="E118" s="26">
        <f>(IF(MOD((92/80*(C6+C7)),(C6+C7))&lt;C6,(C4*C8),(C5*C8)+((C4*C8)-(C5*C8))*EXP(-(MOD((92/80*(C6+C7)),(C6+C7))-C6)/(C9*C8))))*1000</f>
        <v/>
      </c>
      <c r="F118" s="25">
        <f>IF(AND(MOD((92/80*(C6+C7)),(C6+C7))&lt;C6,MOD((92/80*(C6+C7)),(C6+C7))&lt;C12),-ABS(C11)*SIN(PI()*MOD((92/80*(C6+C7)),(C6+C7))/C12),0)</f>
        <v/>
      </c>
      <c r="G118" s="25">
        <f>C5*(C10/(C8+C10))+(E118/1000)/C10+F118</f>
        <v/>
      </c>
      <c r="H118" s="25">
        <f>C118-G118</f>
        <v/>
      </c>
      <c r="I118" s="25">
        <f>C5+(E118/1000)/C8</f>
        <v/>
      </c>
    </row>
    <row r="119" ht="12.95" customHeight="1" s="44">
      <c r="B119" s="27">
        <f>(93/80*(C6+C7))</f>
        <v/>
      </c>
      <c r="C119" s="27">
        <f>IF(MOD((93/80*(C6+C7)),(C6+C7))&lt;C6,C4,C5)</f>
        <v/>
      </c>
      <c r="D119" s="27">
        <f>IF(MOD((93/80*(C6+C7)),(C6+C7))&lt;C6,0,-((C4*C8)-(C5*C8))/(C9*C8)*EXP(-(MOD((93/80*(C6+C7)),(C6+C7))-C6)/(C9*C8))*60)</f>
        <v/>
      </c>
      <c r="E119" s="28">
        <f>(IF(MOD((93/80*(C6+C7)),(C6+C7))&lt;C6,(C4*C8),(C5*C8)+((C4*C8)-(C5*C8))*EXP(-(MOD((93/80*(C6+C7)),(C6+C7))-C6)/(C9*C8))))*1000</f>
        <v/>
      </c>
      <c r="F119" s="27">
        <f>IF(AND(MOD((93/80*(C6+C7)),(C6+C7))&lt;C6,MOD((93/80*(C6+C7)),(C6+C7))&lt;C12),-ABS(C11)*SIN(PI()*MOD((93/80*(C6+C7)),(C6+C7))/C12),0)</f>
        <v/>
      </c>
      <c r="G119" s="27">
        <f>C5*(C10/(C8+C10))+(E119/1000)/C10+F119</f>
        <v/>
      </c>
      <c r="H119" s="27">
        <f>C119-G119</f>
        <v/>
      </c>
      <c r="I119" s="27">
        <f>C5+(E119/1000)/C8</f>
        <v/>
      </c>
    </row>
    <row r="120" ht="12.95" customHeight="1" s="44">
      <c r="B120" s="25">
        <f>(94/80*(C6+C7))</f>
        <v/>
      </c>
      <c r="C120" s="25">
        <f>IF(MOD((94/80*(C6+C7)),(C6+C7))&lt;C6,C4,C5)</f>
        <v/>
      </c>
      <c r="D120" s="25">
        <f>IF(MOD((94/80*(C6+C7)),(C6+C7))&lt;C6,0,-((C4*C8)-(C5*C8))/(C9*C8)*EXP(-(MOD((94/80*(C6+C7)),(C6+C7))-C6)/(C9*C8))*60)</f>
        <v/>
      </c>
      <c r="E120" s="26">
        <f>(IF(MOD((94/80*(C6+C7)),(C6+C7))&lt;C6,(C4*C8),(C5*C8)+((C4*C8)-(C5*C8))*EXP(-(MOD((94/80*(C6+C7)),(C6+C7))-C6)/(C9*C8))))*1000</f>
        <v/>
      </c>
      <c r="F120" s="25">
        <f>IF(AND(MOD((94/80*(C6+C7)),(C6+C7))&lt;C6,MOD((94/80*(C6+C7)),(C6+C7))&lt;C12),-ABS(C11)*SIN(PI()*MOD((94/80*(C6+C7)),(C6+C7))/C12),0)</f>
        <v/>
      </c>
      <c r="G120" s="25">
        <f>C5*(C10/(C8+C10))+(E120/1000)/C10+F120</f>
        <v/>
      </c>
      <c r="H120" s="25">
        <f>C120-G120</f>
        <v/>
      </c>
      <c r="I120" s="25">
        <f>C5+(E120/1000)/C8</f>
        <v/>
      </c>
    </row>
    <row r="121" ht="12.95" customHeight="1" s="44">
      <c r="B121" s="27">
        <f>(95/80*(C6+C7))</f>
        <v/>
      </c>
      <c r="C121" s="27">
        <f>IF(MOD((95/80*(C6+C7)),(C6+C7))&lt;C6,C4,C5)</f>
        <v/>
      </c>
      <c r="D121" s="27">
        <f>IF(MOD((95/80*(C6+C7)),(C6+C7))&lt;C6,0,-((C4*C8)-(C5*C8))/(C9*C8)*EXP(-(MOD((95/80*(C6+C7)),(C6+C7))-C6)/(C9*C8))*60)</f>
        <v/>
      </c>
      <c r="E121" s="28">
        <f>(IF(MOD((95/80*(C6+C7)),(C6+C7))&lt;C6,(C4*C8),(C5*C8)+((C4*C8)-(C5*C8))*EXP(-(MOD((95/80*(C6+C7)),(C6+C7))-C6)/(C9*C8))))*1000</f>
        <v/>
      </c>
      <c r="F121" s="27">
        <f>IF(AND(MOD((95/80*(C6+C7)),(C6+C7))&lt;C6,MOD((95/80*(C6+C7)),(C6+C7))&lt;C12),-ABS(C11)*SIN(PI()*MOD((95/80*(C6+C7)),(C6+C7))/C12),0)</f>
        <v/>
      </c>
      <c r="G121" s="27">
        <f>C5*(C10/(C8+C10))+(E121/1000)/C10+F121</f>
        <v/>
      </c>
      <c r="H121" s="27">
        <f>C121-G121</f>
        <v/>
      </c>
      <c r="I121" s="27">
        <f>C5+(E121/1000)/C8</f>
        <v/>
      </c>
    </row>
    <row r="122" ht="12.95" customHeight="1" s="44">
      <c r="B122" s="25">
        <f>(96/80*(C6+C7))</f>
        <v/>
      </c>
      <c r="C122" s="25">
        <f>IF(MOD((96/80*(C6+C7)),(C6+C7))&lt;C6,C4,C5)</f>
        <v/>
      </c>
      <c r="D122" s="25">
        <f>IF(MOD((96/80*(C6+C7)),(C6+C7))&lt;C6,0,-((C4*C8)-(C5*C8))/(C9*C8)*EXP(-(MOD((96/80*(C6+C7)),(C6+C7))-C6)/(C9*C8))*60)</f>
        <v/>
      </c>
      <c r="E122" s="26">
        <f>(IF(MOD((96/80*(C6+C7)),(C6+C7))&lt;C6,(C4*C8),(C5*C8)+((C4*C8)-(C5*C8))*EXP(-(MOD((96/80*(C6+C7)),(C6+C7))-C6)/(C9*C8))))*1000</f>
        <v/>
      </c>
      <c r="F122" s="25">
        <f>IF(AND(MOD((96/80*(C6+C7)),(C6+C7))&lt;C6,MOD((96/80*(C6+C7)),(C6+C7))&lt;C12),-ABS(C11)*SIN(PI()*MOD((96/80*(C6+C7)),(C6+C7))/C12),0)</f>
        <v/>
      </c>
      <c r="G122" s="25">
        <f>C5*(C10/(C8+C10))+(E122/1000)/C10+F122</f>
        <v/>
      </c>
      <c r="H122" s="25">
        <f>C122-G122</f>
        <v/>
      </c>
      <c r="I122" s="25">
        <f>C5+(E122/1000)/C8</f>
        <v/>
      </c>
    </row>
    <row r="123" ht="12.95" customHeight="1" s="44">
      <c r="B123" s="27">
        <f>(97/80*(C6+C7))</f>
        <v/>
      </c>
      <c r="C123" s="27">
        <f>IF(MOD((97/80*(C6+C7)),(C6+C7))&lt;C6,C4,C5)</f>
        <v/>
      </c>
      <c r="D123" s="27">
        <f>IF(MOD((97/80*(C6+C7)),(C6+C7))&lt;C6,0,-((C4*C8)-(C5*C8))/(C9*C8)*EXP(-(MOD((97/80*(C6+C7)),(C6+C7))-C6)/(C9*C8))*60)</f>
        <v/>
      </c>
      <c r="E123" s="28">
        <f>(IF(MOD((97/80*(C6+C7)),(C6+C7))&lt;C6,(C4*C8),(C5*C8)+((C4*C8)-(C5*C8))*EXP(-(MOD((97/80*(C6+C7)),(C6+C7))-C6)/(C9*C8))))*1000</f>
        <v/>
      </c>
      <c r="F123" s="27">
        <f>IF(AND(MOD((97/80*(C6+C7)),(C6+C7))&lt;C6,MOD((97/80*(C6+C7)),(C6+C7))&lt;C12),-ABS(C11)*SIN(PI()*MOD((97/80*(C6+C7)),(C6+C7))/C12),0)</f>
        <v/>
      </c>
      <c r="G123" s="27">
        <f>C5*(C10/(C8+C10))+(E123/1000)/C10+F123</f>
        <v/>
      </c>
      <c r="H123" s="27">
        <f>C123-G123</f>
        <v/>
      </c>
      <c r="I123" s="27">
        <f>C5+(E123/1000)/C8</f>
        <v/>
      </c>
    </row>
    <row r="124" ht="12.95" customHeight="1" s="44">
      <c r="B124" s="25">
        <f>(98/80*(C6+C7))</f>
        <v/>
      </c>
      <c r="C124" s="25">
        <f>IF(MOD((98/80*(C6+C7)),(C6+C7))&lt;C6,C4,C5)</f>
        <v/>
      </c>
      <c r="D124" s="25">
        <f>IF(MOD((98/80*(C6+C7)),(C6+C7))&lt;C6,0,-((C4*C8)-(C5*C8))/(C9*C8)*EXP(-(MOD((98/80*(C6+C7)),(C6+C7))-C6)/(C9*C8))*60)</f>
        <v/>
      </c>
      <c r="E124" s="26">
        <f>(IF(MOD((98/80*(C6+C7)),(C6+C7))&lt;C6,(C4*C8),(C5*C8)+((C4*C8)-(C5*C8))*EXP(-(MOD((98/80*(C6+C7)),(C6+C7))-C6)/(C9*C8))))*1000</f>
        <v/>
      </c>
      <c r="F124" s="25">
        <f>IF(AND(MOD((98/80*(C6+C7)),(C6+C7))&lt;C6,MOD((98/80*(C6+C7)),(C6+C7))&lt;C12),-ABS(C11)*SIN(PI()*MOD((98/80*(C6+C7)),(C6+C7))/C12),0)</f>
        <v/>
      </c>
      <c r="G124" s="25">
        <f>C5*(C10/(C8+C10))+(E124/1000)/C10+F124</f>
        <v/>
      </c>
      <c r="H124" s="25">
        <f>C124-G124</f>
        <v/>
      </c>
      <c r="I124" s="25">
        <f>C5+(E124/1000)/C8</f>
        <v/>
      </c>
    </row>
    <row r="125" ht="12.95" customHeight="1" s="44">
      <c r="B125" s="27">
        <f>(99/80*(C6+C7))</f>
        <v/>
      </c>
      <c r="C125" s="27">
        <f>IF(MOD((99/80*(C6+C7)),(C6+C7))&lt;C6,C4,C5)</f>
        <v/>
      </c>
      <c r="D125" s="27">
        <f>IF(MOD((99/80*(C6+C7)),(C6+C7))&lt;C6,0,-((C4*C8)-(C5*C8))/(C9*C8)*EXP(-(MOD((99/80*(C6+C7)),(C6+C7))-C6)/(C9*C8))*60)</f>
        <v/>
      </c>
      <c r="E125" s="28">
        <f>(IF(MOD((99/80*(C6+C7)),(C6+C7))&lt;C6,(C4*C8),(C5*C8)+((C4*C8)-(C5*C8))*EXP(-(MOD((99/80*(C6+C7)),(C6+C7))-C6)/(C9*C8))))*1000</f>
        <v/>
      </c>
      <c r="F125" s="27">
        <f>IF(AND(MOD((99/80*(C6+C7)),(C6+C7))&lt;C6,MOD((99/80*(C6+C7)),(C6+C7))&lt;C12),-ABS(C11)*SIN(PI()*MOD((99/80*(C6+C7)),(C6+C7))/C12),0)</f>
        <v/>
      </c>
      <c r="G125" s="27">
        <f>C5*(C10/(C8+C10))+(E125/1000)/C10+F125</f>
        <v/>
      </c>
      <c r="H125" s="27">
        <f>C125-G125</f>
        <v/>
      </c>
      <c r="I125" s="27">
        <f>C5+(E125/1000)/C8</f>
        <v/>
      </c>
    </row>
    <row r="126" ht="12.95" customHeight="1" s="44">
      <c r="B126" s="25">
        <f>(100/80*(C6+C7))</f>
        <v/>
      </c>
      <c r="C126" s="25">
        <f>IF(MOD((100/80*(C6+C7)),(C6+C7))&lt;C6,C4,C5)</f>
        <v/>
      </c>
      <c r="D126" s="25">
        <f>IF(MOD((100/80*(C6+C7)),(C6+C7))&lt;C6,0,-((C4*C8)-(C5*C8))/(C9*C8)*EXP(-(MOD((100/80*(C6+C7)),(C6+C7))-C6)/(C9*C8))*60)</f>
        <v/>
      </c>
      <c r="E126" s="26">
        <f>(IF(MOD((100/80*(C6+C7)),(C6+C7))&lt;C6,(C4*C8),(C5*C8)+((C4*C8)-(C5*C8))*EXP(-(MOD((100/80*(C6+C7)),(C6+C7))-C6)/(C9*C8))))*1000</f>
        <v/>
      </c>
      <c r="F126" s="25">
        <f>IF(AND(MOD((100/80*(C6+C7)),(C6+C7))&lt;C6,MOD((100/80*(C6+C7)),(C6+C7))&lt;C12),-ABS(C11)*SIN(PI()*MOD((100/80*(C6+C7)),(C6+C7))/C12),0)</f>
        <v/>
      </c>
      <c r="G126" s="25">
        <f>C5*(C10/(C8+C10))+(E126/1000)/C10+F126</f>
        <v/>
      </c>
      <c r="H126" s="25">
        <f>C126-G126</f>
        <v/>
      </c>
      <c r="I126" s="25">
        <f>C5+(E126/1000)/C8</f>
        <v/>
      </c>
    </row>
    <row r="127" ht="12.95" customHeight="1" s="44">
      <c r="B127" s="27">
        <f>(101/80*(C6+C7))</f>
        <v/>
      </c>
      <c r="C127" s="27">
        <f>IF(MOD((101/80*(C6+C7)),(C6+C7))&lt;C6,C4,C5)</f>
        <v/>
      </c>
      <c r="D127" s="27">
        <f>IF(MOD((101/80*(C6+C7)),(C6+C7))&lt;C6,0,-((C4*C8)-(C5*C8))/(C9*C8)*EXP(-(MOD((101/80*(C6+C7)),(C6+C7))-C6)/(C9*C8))*60)</f>
        <v/>
      </c>
      <c r="E127" s="28">
        <f>(IF(MOD((101/80*(C6+C7)),(C6+C7))&lt;C6,(C4*C8),(C5*C8)+((C4*C8)-(C5*C8))*EXP(-(MOD((101/80*(C6+C7)),(C6+C7))-C6)/(C9*C8))))*1000</f>
        <v/>
      </c>
      <c r="F127" s="27">
        <f>IF(AND(MOD((101/80*(C6+C7)),(C6+C7))&lt;C6,MOD((101/80*(C6+C7)),(C6+C7))&lt;C12),-ABS(C11)*SIN(PI()*MOD((101/80*(C6+C7)),(C6+C7))/C12),0)</f>
        <v/>
      </c>
      <c r="G127" s="27">
        <f>C5*(C10/(C8+C10))+(E127/1000)/C10+F127</f>
        <v/>
      </c>
      <c r="H127" s="27">
        <f>C127-G127</f>
        <v/>
      </c>
      <c r="I127" s="27">
        <f>C5+(E127/1000)/C8</f>
        <v/>
      </c>
    </row>
    <row r="128" ht="12.95" customHeight="1" s="44">
      <c r="B128" s="25">
        <f>(102/80*(C6+C7))</f>
        <v/>
      </c>
      <c r="C128" s="25">
        <f>IF(MOD((102/80*(C6+C7)),(C6+C7))&lt;C6,C4,C5)</f>
        <v/>
      </c>
      <c r="D128" s="25">
        <f>IF(MOD((102/80*(C6+C7)),(C6+C7))&lt;C6,0,-((C4*C8)-(C5*C8))/(C9*C8)*EXP(-(MOD((102/80*(C6+C7)),(C6+C7))-C6)/(C9*C8))*60)</f>
        <v/>
      </c>
      <c r="E128" s="26">
        <f>(IF(MOD((102/80*(C6+C7)),(C6+C7))&lt;C6,(C4*C8),(C5*C8)+((C4*C8)-(C5*C8))*EXP(-(MOD((102/80*(C6+C7)),(C6+C7))-C6)/(C9*C8))))*1000</f>
        <v/>
      </c>
      <c r="F128" s="25">
        <f>IF(AND(MOD((102/80*(C6+C7)),(C6+C7))&lt;C6,MOD((102/80*(C6+C7)),(C6+C7))&lt;C12),-ABS(C11)*SIN(PI()*MOD((102/80*(C6+C7)),(C6+C7))/C12),0)</f>
        <v/>
      </c>
      <c r="G128" s="25">
        <f>C5*(C10/(C8+C10))+(E128/1000)/C10+F128</f>
        <v/>
      </c>
      <c r="H128" s="25">
        <f>C128-G128</f>
        <v/>
      </c>
      <c r="I128" s="25">
        <f>C5+(E128/1000)/C8</f>
        <v/>
      </c>
    </row>
    <row r="129" ht="12.95" customHeight="1" s="44">
      <c r="B129" s="27">
        <f>(103/80*(C6+C7))</f>
        <v/>
      </c>
      <c r="C129" s="27">
        <f>IF(MOD((103/80*(C6+C7)),(C6+C7))&lt;C6,C4,C5)</f>
        <v/>
      </c>
      <c r="D129" s="27">
        <f>IF(MOD((103/80*(C6+C7)),(C6+C7))&lt;C6,0,-((C4*C8)-(C5*C8))/(C9*C8)*EXP(-(MOD((103/80*(C6+C7)),(C6+C7))-C6)/(C9*C8))*60)</f>
        <v/>
      </c>
      <c r="E129" s="28">
        <f>(IF(MOD((103/80*(C6+C7)),(C6+C7))&lt;C6,(C4*C8),(C5*C8)+((C4*C8)-(C5*C8))*EXP(-(MOD((103/80*(C6+C7)),(C6+C7))-C6)/(C9*C8))))*1000</f>
        <v/>
      </c>
      <c r="F129" s="27">
        <f>IF(AND(MOD((103/80*(C6+C7)),(C6+C7))&lt;C6,MOD((103/80*(C6+C7)),(C6+C7))&lt;C12),-ABS(C11)*SIN(PI()*MOD((103/80*(C6+C7)),(C6+C7))/C12),0)</f>
        <v/>
      </c>
      <c r="G129" s="27">
        <f>C5*(C10/(C8+C10))+(E129/1000)/C10+F129</f>
        <v/>
      </c>
      <c r="H129" s="27">
        <f>C129-G129</f>
        <v/>
      </c>
      <c r="I129" s="27">
        <f>C5+(E129/1000)/C8</f>
        <v/>
      </c>
    </row>
    <row r="130" ht="12.95" customHeight="1" s="44">
      <c r="B130" s="25">
        <f>(104/80*(C6+C7))</f>
        <v/>
      </c>
      <c r="C130" s="25">
        <f>IF(MOD((104/80*(C6+C7)),(C6+C7))&lt;C6,C4,C5)</f>
        <v/>
      </c>
      <c r="D130" s="25">
        <f>IF(MOD((104/80*(C6+C7)),(C6+C7))&lt;C6,0,-((C4*C8)-(C5*C8))/(C9*C8)*EXP(-(MOD((104/80*(C6+C7)),(C6+C7))-C6)/(C9*C8))*60)</f>
        <v/>
      </c>
      <c r="E130" s="26">
        <f>(IF(MOD((104/80*(C6+C7)),(C6+C7))&lt;C6,(C4*C8),(C5*C8)+((C4*C8)-(C5*C8))*EXP(-(MOD((104/80*(C6+C7)),(C6+C7))-C6)/(C9*C8))))*1000</f>
        <v/>
      </c>
      <c r="F130" s="25">
        <f>IF(AND(MOD((104/80*(C6+C7)),(C6+C7))&lt;C6,MOD((104/80*(C6+C7)),(C6+C7))&lt;C12),-ABS(C11)*SIN(PI()*MOD((104/80*(C6+C7)),(C6+C7))/C12),0)</f>
        <v/>
      </c>
      <c r="G130" s="25">
        <f>C5*(C10/(C8+C10))+(E130/1000)/C10+F130</f>
        <v/>
      </c>
      <c r="H130" s="25">
        <f>C130-G130</f>
        <v/>
      </c>
      <c r="I130" s="25">
        <f>C5+(E130/1000)/C8</f>
        <v/>
      </c>
    </row>
    <row r="131" ht="12.95" customHeight="1" s="44">
      <c r="B131" s="27">
        <f>(105/80*(C6+C7))</f>
        <v/>
      </c>
      <c r="C131" s="27">
        <f>IF(MOD((105/80*(C6+C7)),(C6+C7))&lt;C6,C4,C5)</f>
        <v/>
      </c>
      <c r="D131" s="27">
        <f>IF(MOD((105/80*(C6+C7)),(C6+C7))&lt;C6,0,-((C4*C8)-(C5*C8))/(C9*C8)*EXP(-(MOD((105/80*(C6+C7)),(C6+C7))-C6)/(C9*C8))*60)</f>
        <v/>
      </c>
      <c r="E131" s="28">
        <f>(IF(MOD((105/80*(C6+C7)),(C6+C7))&lt;C6,(C4*C8),(C5*C8)+((C4*C8)-(C5*C8))*EXP(-(MOD((105/80*(C6+C7)),(C6+C7))-C6)/(C9*C8))))*1000</f>
        <v/>
      </c>
      <c r="F131" s="27">
        <f>IF(AND(MOD((105/80*(C6+C7)),(C6+C7))&lt;C6,MOD((105/80*(C6+C7)),(C6+C7))&lt;C12),-ABS(C11)*SIN(PI()*MOD((105/80*(C6+C7)),(C6+C7))/C12),0)</f>
        <v/>
      </c>
      <c r="G131" s="27">
        <f>C5*(C10/(C8+C10))+(E131/1000)/C10+F131</f>
        <v/>
      </c>
      <c r="H131" s="27">
        <f>C131-G131</f>
        <v/>
      </c>
      <c r="I131" s="27">
        <f>C5+(E131/1000)/C8</f>
        <v/>
      </c>
    </row>
    <row r="132" ht="12.95" customHeight="1" s="44">
      <c r="B132" s="25">
        <f>(106/80*(C6+C7))</f>
        <v/>
      </c>
      <c r="C132" s="25">
        <f>IF(MOD((106/80*(C6+C7)),(C6+C7))&lt;C6,C4,C5)</f>
        <v/>
      </c>
      <c r="D132" s="25">
        <f>IF(MOD((106/80*(C6+C7)),(C6+C7))&lt;C6,0,-((C4*C8)-(C5*C8))/(C9*C8)*EXP(-(MOD((106/80*(C6+C7)),(C6+C7))-C6)/(C9*C8))*60)</f>
        <v/>
      </c>
      <c r="E132" s="26">
        <f>(IF(MOD((106/80*(C6+C7)),(C6+C7))&lt;C6,(C4*C8),(C5*C8)+((C4*C8)-(C5*C8))*EXP(-(MOD((106/80*(C6+C7)),(C6+C7))-C6)/(C9*C8))))*1000</f>
        <v/>
      </c>
      <c r="F132" s="25">
        <f>IF(AND(MOD((106/80*(C6+C7)),(C6+C7))&lt;C6,MOD((106/80*(C6+C7)),(C6+C7))&lt;C12),-ABS(C11)*SIN(PI()*MOD((106/80*(C6+C7)),(C6+C7))/C12),0)</f>
        <v/>
      </c>
      <c r="G132" s="25">
        <f>C5*(C10/(C8+C10))+(E132/1000)/C10+F132</f>
        <v/>
      </c>
      <c r="H132" s="25">
        <f>C132-G132</f>
        <v/>
      </c>
      <c r="I132" s="25">
        <f>C5+(E132/1000)/C8</f>
        <v/>
      </c>
    </row>
    <row r="133" ht="12.95" customHeight="1" s="44">
      <c r="B133" s="27">
        <f>(107/80*(C6+C7))</f>
        <v/>
      </c>
      <c r="C133" s="27">
        <f>IF(MOD((107/80*(C6+C7)),(C6+C7))&lt;C6,C4,C5)</f>
        <v/>
      </c>
      <c r="D133" s="27">
        <f>IF(MOD((107/80*(C6+C7)),(C6+C7))&lt;C6,0,-((C4*C8)-(C5*C8))/(C9*C8)*EXP(-(MOD((107/80*(C6+C7)),(C6+C7))-C6)/(C9*C8))*60)</f>
        <v/>
      </c>
      <c r="E133" s="28">
        <f>(IF(MOD((107/80*(C6+C7)),(C6+C7))&lt;C6,(C4*C8),(C5*C8)+((C4*C8)-(C5*C8))*EXP(-(MOD((107/80*(C6+C7)),(C6+C7))-C6)/(C9*C8))))*1000</f>
        <v/>
      </c>
      <c r="F133" s="27">
        <f>IF(AND(MOD((107/80*(C6+C7)),(C6+C7))&lt;C6,MOD((107/80*(C6+C7)),(C6+C7))&lt;C12),-ABS(C11)*SIN(PI()*MOD((107/80*(C6+C7)),(C6+C7))/C12),0)</f>
        <v/>
      </c>
      <c r="G133" s="27">
        <f>C5*(C10/(C8+C10))+(E133/1000)/C10+F133</f>
        <v/>
      </c>
      <c r="H133" s="27">
        <f>C133-G133</f>
        <v/>
      </c>
      <c r="I133" s="27">
        <f>C5+(E133/1000)/C8</f>
        <v/>
      </c>
    </row>
    <row r="134" ht="12.95" customHeight="1" s="44">
      <c r="B134" s="25">
        <f>(108/80*(C6+C7))</f>
        <v/>
      </c>
      <c r="C134" s="25">
        <f>IF(MOD((108/80*(C6+C7)),(C6+C7))&lt;C6,C4,C5)</f>
        <v/>
      </c>
      <c r="D134" s="25">
        <f>IF(MOD((108/80*(C6+C7)),(C6+C7))&lt;C6,0,-((C4*C8)-(C5*C8))/(C9*C8)*EXP(-(MOD((108/80*(C6+C7)),(C6+C7))-C6)/(C9*C8))*60)</f>
        <v/>
      </c>
      <c r="E134" s="26">
        <f>(IF(MOD((108/80*(C6+C7)),(C6+C7))&lt;C6,(C4*C8),(C5*C8)+((C4*C8)-(C5*C8))*EXP(-(MOD((108/80*(C6+C7)),(C6+C7))-C6)/(C9*C8))))*1000</f>
        <v/>
      </c>
      <c r="F134" s="25">
        <f>IF(AND(MOD((108/80*(C6+C7)),(C6+C7))&lt;C6,MOD((108/80*(C6+C7)),(C6+C7))&lt;C12),-ABS(C11)*SIN(PI()*MOD((108/80*(C6+C7)),(C6+C7))/C12),0)</f>
        <v/>
      </c>
      <c r="G134" s="25">
        <f>C5*(C10/(C8+C10))+(E134/1000)/C10+F134</f>
        <v/>
      </c>
      <c r="H134" s="25">
        <f>C134-G134</f>
        <v/>
      </c>
      <c r="I134" s="25">
        <f>C5+(E134/1000)/C8</f>
        <v/>
      </c>
    </row>
    <row r="135" ht="12.95" customHeight="1" s="44">
      <c r="B135" s="27">
        <f>(109/80*(C6+C7))</f>
        <v/>
      </c>
      <c r="C135" s="27">
        <f>IF(MOD((109/80*(C6+C7)),(C6+C7))&lt;C6,C4,C5)</f>
        <v/>
      </c>
      <c r="D135" s="27">
        <f>IF(MOD((109/80*(C6+C7)),(C6+C7))&lt;C6,0,-((C4*C8)-(C5*C8))/(C9*C8)*EXP(-(MOD((109/80*(C6+C7)),(C6+C7))-C6)/(C9*C8))*60)</f>
        <v/>
      </c>
      <c r="E135" s="28">
        <f>(IF(MOD((109/80*(C6+C7)),(C6+C7))&lt;C6,(C4*C8),(C5*C8)+((C4*C8)-(C5*C8))*EXP(-(MOD((109/80*(C6+C7)),(C6+C7))-C6)/(C9*C8))))*1000</f>
        <v/>
      </c>
      <c r="F135" s="27">
        <f>IF(AND(MOD((109/80*(C6+C7)),(C6+C7))&lt;C6,MOD((109/80*(C6+C7)),(C6+C7))&lt;C12),-ABS(C11)*SIN(PI()*MOD((109/80*(C6+C7)),(C6+C7))/C12),0)</f>
        <v/>
      </c>
      <c r="G135" s="27">
        <f>C5*(C10/(C8+C10))+(E135/1000)/C10+F135</f>
        <v/>
      </c>
      <c r="H135" s="27">
        <f>C135-G135</f>
        <v/>
      </c>
      <c r="I135" s="27">
        <f>C5+(E135/1000)/C8</f>
        <v/>
      </c>
    </row>
    <row r="136" ht="12.95" customHeight="1" s="44">
      <c r="B136" s="25">
        <f>(110/80*(C6+C7))</f>
        <v/>
      </c>
      <c r="C136" s="25">
        <f>IF(MOD((110/80*(C6+C7)),(C6+C7))&lt;C6,C4,C5)</f>
        <v/>
      </c>
      <c r="D136" s="25">
        <f>IF(MOD((110/80*(C6+C7)),(C6+C7))&lt;C6,0,-((C4*C8)-(C5*C8))/(C9*C8)*EXP(-(MOD((110/80*(C6+C7)),(C6+C7))-C6)/(C9*C8))*60)</f>
        <v/>
      </c>
      <c r="E136" s="26">
        <f>(IF(MOD((110/80*(C6+C7)),(C6+C7))&lt;C6,(C4*C8),(C5*C8)+((C4*C8)-(C5*C8))*EXP(-(MOD((110/80*(C6+C7)),(C6+C7))-C6)/(C9*C8))))*1000</f>
        <v/>
      </c>
      <c r="F136" s="25">
        <f>IF(AND(MOD((110/80*(C6+C7)),(C6+C7))&lt;C6,MOD((110/80*(C6+C7)),(C6+C7))&lt;C12),-ABS(C11)*SIN(PI()*MOD((110/80*(C6+C7)),(C6+C7))/C12),0)</f>
        <v/>
      </c>
      <c r="G136" s="25">
        <f>C5*(C10/(C8+C10))+(E136/1000)/C10+F136</f>
        <v/>
      </c>
      <c r="H136" s="25">
        <f>C136-G136</f>
        <v/>
      </c>
      <c r="I136" s="25">
        <f>C5+(E136/1000)/C8</f>
        <v/>
      </c>
    </row>
    <row r="137" ht="12.95" customHeight="1" s="44">
      <c r="B137" s="27">
        <f>(111/80*(C6+C7))</f>
        <v/>
      </c>
      <c r="C137" s="27">
        <f>IF(MOD((111/80*(C6+C7)),(C6+C7))&lt;C6,C4,C5)</f>
        <v/>
      </c>
      <c r="D137" s="27">
        <f>IF(MOD((111/80*(C6+C7)),(C6+C7))&lt;C6,0,-((C4*C8)-(C5*C8))/(C9*C8)*EXP(-(MOD((111/80*(C6+C7)),(C6+C7))-C6)/(C9*C8))*60)</f>
        <v/>
      </c>
      <c r="E137" s="28">
        <f>(IF(MOD((111/80*(C6+C7)),(C6+C7))&lt;C6,(C4*C8),(C5*C8)+((C4*C8)-(C5*C8))*EXP(-(MOD((111/80*(C6+C7)),(C6+C7))-C6)/(C9*C8))))*1000</f>
        <v/>
      </c>
      <c r="F137" s="27">
        <f>IF(AND(MOD((111/80*(C6+C7)),(C6+C7))&lt;C6,MOD((111/80*(C6+C7)),(C6+C7))&lt;C12),-ABS(C11)*SIN(PI()*MOD((111/80*(C6+C7)),(C6+C7))/C12),0)</f>
        <v/>
      </c>
      <c r="G137" s="27">
        <f>C5*(C10/(C8+C10))+(E137/1000)/C10+F137</f>
        <v/>
      </c>
      <c r="H137" s="27">
        <f>C137-G137</f>
        <v/>
      </c>
      <c r="I137" s="27">
        <f>C5+(E137/1000)/C8</f>
        <v/>
      </c>
    </row>
    <row r="138" ht="12.95" customHeight="1" s="44">
      <c r="B138" s="25">
        <f>(112/80*(C6+C7))</f>
        <v/>
      </c>
      <c r="C138" s="25">
        <f>IF(MOD((112/80*(C6+C7)),(C6+C7))&lt;C6,C4,C5)</f>
        <v/>
      </c>
      <c r="D138" s="25">
        <f>IF(MOD((112/80*(C6+C7)),(C6+C7))&lt;C6,0,-((C4*C8)-(C5*C8))/(C9*C8)*EXP(-(MOD((112/80*(C6+C7)),(C6+C7))-C6)/(C9*C8))*60)</f>
        <v/>
      </c>
      <c r="E138" s="26">
        <f>(IF(MOD((112/80*(C6+C7)),(C6+C7))&lt;C6,(C4*C8),(C5*C8)+((C4*C8)-(C5*C8))*EXP(-(MOD((112/80*(C6+C7)),(C6+C7))-C6)/(C9*C8))))*1000</f>
        <v/>
      </c>
      <c r="F138" s="25">
        <f>IF(AND(MOD((112/80*(C6+C7)),(C6+C7))&lt;C6,MOD((112/80*(C6+C7)),(C6+C7))&lt;C12),-ABS(C11)*SIN(PI()*MOD((112/80*(C6+C7)),(C6+C7))/C12),0)</f>
        <v/>
      </c>
      <c r="G138" s="25">
        <f>C5*(C10/(C8+C10))+(E138/1000)/C10+F138</f>
        <v/>
      </c>
      <c r="H138" s="25">
        <f>C138-G138</f>
        <v/>
      </c>
      <c r="I138" s="25">
        <f>C5+(E138/1000)/C8</f>
        <v/>
      </c>
    </row>
    <row r="139" ht="12.95" customHeight="1" s="44">
      <c r="B139" s="27">
        <f>(113/80*(C6+C7))</f>
        <v/>
      </c>
      <c r="C139" s="27">
        <f>IF(MOD((113/80*(C6+C7)),(C6+C7))&lt;C6,C4,C5)</f>
        <v/>
      </c>
      <c r="D139" s="27">
        <f>IF(MOD((113/80*(C6+C7)),(C6+C7))&lt;C6,0,-((C4*C8)-(C5*C8))/(C9*C8)*EXP(-(MOD((113/80*(C6+C7)),(C6+C7))-C6)/(C9*C8))*60)</f>
        <v/>
      </c>
      <c r="E139" s="28">
        <f>(IF(MOD((113/80*(C6+C7)),(C6+C7))&lt;C6,(C4*C8),(C5*C8)+((C4*C8)-(C5*C8))*EXP(-(MOD((113/80*(C6+C7)),(C6+C7))-C6)/(C9*C8))))*1000</f>
        <v/>
      </c>
      <c r="F139" s="27">
        <f>IF(AND(MOD((113/80*(C6+C7)),(C6+C7))&lt;C6,MOD((113/80*(C6+C7)),(C6+C7))&lt;C12),-ABS(C11)*SIN(PI()*MOD((113/80*(C6+C7)),(C6+C7))/C12),0)</f>
        <v/>
      </c>
      <c r="G139" s="27">
        <f>C5*(C10/(C8+C10))+(E139/1000)/C10+F139</f>
        <v/>
      </c>
      <c r="H139" s="27">
        <f>C139-G139</f>
        <v/>
      </c>
      <c r="I139" s="27">
        <f>C5+(E139/1000)/C8</f>
        <v/>
      </c>
    </row>
    <row r="140" ht="12.95" customHeight="1" s="44">
      <c r="B140" s="25">
        <f>(114/80*(C6+C7))</f>
        <v/>
      </c>
      <c r="C140" s="25">
        <f>IF(MOD((114/80*(C6+C7)),(C6+C7))&lt;C6,C4,C5)</f>
        <v/>
      </c>
      <c r="D140" s="25">
        <f>IF(MOD((114/80*(C6+C7)),(C6+C7))&lt;C6,0,-((C4*C8)-(C5*C8))/(C9*C8)*EXP(-(MOD((114/80*(C6+C7)),(C6+C7))-C6)/(C9*C8))*60)</f>
        <v/>
      </c>
      <c r="E140" s="26">
        <f>(IF(MOD((114/80*(C6+C7)),(C6+C7))&lt;C6,(C4*C8),(C5*C8)+((C4*C8)-(C5*C8))*EXP(-(MOD((114/80*(C6+C7)),(C6+C7))-C6)/(C9*C8))))*1000</f>
        <v/>
      </c>
      <c r="F140" s="25">
        <f>IF(AND(MOD((114/80*(C6+C7)),(C6+C7))&lt;C6,MOD((114/80*(C6+C7)),(C6+C7))&lt;C12),-ABS(C11)*SIN(PI()*MOD((114/80*(C6+C7)),(C6+C7))/C12),0)</f>
        <v/>
      </c>
      <c r="G140" s="25">
        <f>C5*(C10/(C8+C10))+(E140/1000)/C10+F140</f>
        <v/>
      </c>
      <c r="H140" s="25">
        <f>C140-G140</f>
        <v/>
      </c>
      <c r="I140" s="25">
        <f>C5+(E140/1000)/C8</f>
        <v/>
      </c>
    </row>
    <row r="141" ht="12.95" customHeight="1" s="44">
      <c r="B141" s="27">
        <f>(115/80*(C6+C7))</f>
        <v/>
      </c>
      <c r="C141" s="27">
        <f>IF(MOD((115/80*(C6+C7)),(C6+C7))&lt;C6,C4,C5)</f>
        <v/>
      </c>
      <c r="D141" s="27">
        <f>IF(MOD((115/80*(C6+C7)),(C6+C7))&lt;C6,0,-((C4*C8)-(C5*C8))/(C9*C8)*EXP(-(MOD((115/80*(C6+C7)),(C6+C7))-C6)/(C9*C8))*60)</f>
        <v/>
      </c>
      <c r="E141" s="28">
        <f>(IF(MOD((115/80*(C6+C7)),(C6+C7))&lt;C6,(C4*C8),(C5*C8)+((C4*C8)-(C5*C8))*EXP(-(MOD((115/80*(C6+C7)),(C6+C7))-C6)/(C9*C8))))*1000</f>
        <v/>
      </c>
      <c r="F141" s="27">
        <f>IF(AND(MOD((115/80*(C6+C7)),(C6+C7))&lt;C6,MOD((115/80*(C6+C7)),(C6+C7))&lt;C12),-ABS(C11)*SIN(PI()*MOD((115/80*(C6+C7)),(C6+C7))/C12),0)</f>
        <v/>
      </c>
      <c r="G141" s="27">
        <f>C5*(C10/(C8+C10))+(E141/1000)/C10+F141</f>
        <v/>
      </c>
      <c r="H141" s="27">
        <f>C141-G141</f>
        <v/>
      </c>
      <c r="I141" s="27">
        <f>C5+(E141/1000)/C8</f>
        <v/>
      </c>
    </row>
    <row r="142" ht="12.95" customHeight="1" s="44">
      <c r="B142" s="25">
        <f>(116/80*(C6+C7))</f>
        <v/>
      </c>
      <c r="C142" s="25">
        <f>IF(MOD((116/80*(C6+C7)),(C6+C7))&lt;C6,C4,C5)</f>
        <v/>
      </c>
      <c r="D142" s="25">
        <f>IF(MOD((116/80*(C6+C7)),(C6+C7))&lt;C6,0,-((C4*C8)-(C5*C8))/(C9*C8)*EXP(-(MOD((116/80*(C6+C7)),(C6+C7))-C6)/(C9*C8))*60)</f>
        <v/>
      </c>
      <c r="E142" s="26">
        <f>(IF(MOD((116/80*(C6+C7)),(C6+C7))&lt;C6,(C4*C8),(C5*C8)+((C4*C8)-(C5*C8))*EXP(-(MOD((116/80*(C6+C7)),(C6+C7))-C6)/(C9*C8))))*1000</f>
        <v/>
      </c>
      <c r="F142" s="25">
        <f>IF(AND(MOD((116/80*(C6+C7)),(C6+C7))&lt;C6,MOD((116/80*(C6+C7)),(C6+C7))&lt;C12),-ABS(C11)*SIN(PI()*MOD((116/80*(C6+C7)),(C6+C7))/C12),0)</f>
        <v/>
      </c>
      <c r="G142" s="25">
        <f>C5*(C10/(C8+C10))+(E142/1000)/C10+F142</f>
        <v/>
      </c>
      <c r="H142" s="25">
        <f>C142-G142</f>
        <v/>
      </c>
      <c r="I142" s="25">
        <f>C5+(E142/1000)/C8</f>
        <v/>
      </c>
    </row>
    <row r="143" ht="12.95" customHeight="1" s="44">
      <c r="B143" s="27">
        <f>(117/80*(C6+C7))</f>
        <v/>
      </c>
      <c r="C143" s="27">
        <f>IF(MOD((117/80*(C6+C7)),(C6+C7))&lt;C6,C4,C5)</f>
        <v/>
      </c>
      <c r="D143" s="27">
        <f>IF(MOD((117/80*(C6+C7)),(C6+C7))&lt;C6,0,-((C4*C8)-(C5*C8))/(C9*C8)*EXP(-(MOD((117/80*(C6+C7)),(C6+C7))-C6)/(C9*C8))*60)</f>
        <v/>
      </c>
      <c r="E143" s="28">
        <f>(IF(MOD((117/80*(C6+C7)),(C6+C7))&lt;C6,(C4*C8),(C5*C8)+((C4*C8)-(C5*C8))*EXP(-(MOD((117/80*(C6+C7)),(C6+C7))-C6)/(C9*C8))))*1000</f>
        <v/>
      </c>
      <c r="F143" s="27">
        <f>IF(AND(MOD((117/80*(C6+C7)),(C6+C7))&lt;C6,MOD((117/80*(C6+C7)),(C6+C7))&lt;C12),-ABS(C11)*SIN(PI()*MOD((117/80*(C6+C7)),(C6+C7))/C12),0)</f>
        <v/>
      </c>
      <c r="G143" s="27">
        <f>C5*(C10/(C8+C10))+(E143/1000)/C10+F143</f>
        <v/>
      </c>
      <c r="H143" s="27">
        <f>C143-G143</f>
        <v/>
      </c>
      <c r="I143" s="27">
        <f>C5+(E143/1000)/C8</f>
        <v/>
      </c>
    </row>
    <row r="144" ht="12.95" customHeight="1" s="44">
      <c r="B144" s="25">
        <f>(118/80*(C6+C7))</f>
        <v/>
      </c>
      <c r="C144" s="25">
        <f>IF(MOD((118/80*(C6+C7)),(C6+C7))&lt;C6,C4,C5)</f>
        <v/>
      </c>
      <c r="D144" s="25">
        <f>IF(MOD((118/80*(C6+C7)),(C6+C7))&lt;C6,0,-((C4*C8)-(C5*C8))/(C9*C8)*EXP(-(MOD((118/80*(C6+C7)),(C6+C7))-C6)/(C9*C8))*60)</f>
        <v/>
      </c>
      <c r="E144" s="26">
        <f>(IF(MOD((118/80*(C6+C7)),(C6+C7))&lt;C6,(C4*C8),(C5*C8)+((C4*C8)-(C5*C8))*EXP(-(MOD((118/80*(C6+C7)),(C6+C7))-C6)/(C9*C8))))*1000</f>
        <v/>
      </c>
      <c r="F144" s="25">
        <f>IF(AND(MOD((118/80*(C6+C7)),(C6+C7))&lt;C6,MOD((118/80*(C6+C7)),(C6+C7))&lt;C12),-ABS(C11)*SIN(PI()*MOD((118/80*(C6+C7)),(C6+C7))/C12),0)</f>
        <v/>
      </c>
      <c r="G144" s="25">
        <f>C5*(C10/(C8+C10))+(E144/1000)/C10+F144</f>
        <v/>
      </c>
      <c r="H144" s="25">
        <f>C144-G144</f>
        <v/>
      </c>
      <c r="I144" s="25">
        <f>C5+(E144/1000)/C8</f>
        <v/>
      </c>
    </row>
    <row r="145" ht="12.95" customHeight="1" s="44">
      <c r="B145" s="27">
        <f>(119/80*(C6+C7))</f>
        <v/>
      </c>
      <c r="C145" s="27">
        <f>IF(MOD((119/80*(C6+C7)),(C6+C7))&lt;C6,C4,C5)</f>
        <v/>
      </c>
      <c r="D145" s="27">
        <f>IF(MOD((119/80*(C6+C7)),(C6+C7))&lt;C6,0,-((C4*C8)-(C5*C8))/(C9*C8)*EXP(-(MOD((119/80*(C6+C7)),(C6+C7))-C6)/(C9*C8))*60)</f>
        <v/>
      </c>
      <c r="E145" s="28">
        <f>(IF(MOD((119/80*(C6+C7)),(C6+C7))&lt;C6,(C4*C8),(C5*C8)+((C4*C8)-(C5*C8))*EXP(-(MOD((119/80*(C6+C7)),(C6+C7))-C6)/(C9*C8))))*1000</f>
        <v/>
      </c>
      <c r="F145" s="27">
        <f>IF(AND(MOD((119/80*(C6+C7)),(C6+C7))&lt;C6,MOD((119/80*(C6+C7)),(C6+C7))&lt;C12),-ABS(C11)*SIN(PI()*MOD((119/80*(C6+C7)),(C6+C7))/C12),0)</f>
        <v/>
      </c>
      <c r="G145" s="27">
        <f>C5*(C10/(C8+C10))+(E145/1000)/C10+F145</f>
        <v/>
      </c>
      <c r="H145" s="27">
        <f>C145-G145</f>
        <v/>
      </c>
      <c r="I145" s="27">
        <f>C5+(E145/1000)/C8</f>
        <v/>
      </c>
    </row>
    <row r="146" ht="12.95" customHeight="1" s="44">
      <c r="B146" s="25">
        <f>(120/80*(C6+C7))</f>
        <v/>
      </c>
      <c r="C146" s="25">
        <f>IF(MOD((120/80*(C6+C7)),(C6+C7))&lt;C6,C4,C5)</f>
        <v/>
      </c>
      <c r="D146" s="25">
        <f>IF(MOD((120/80*(C6+C7)),(C6+C7))&lt;C6,0,-((C4*C8)-(C5*C8))/(C9*C8)*EXP(-(MOD((120/80*(C6+C7)),(C6+C7))-C6)/(C9*C8))*60)</f>
        <v/>
      </c>
      <c r="E146" s="26">
        <f>(IF(MOD((120/80*(C6+C7)),(C6+C7))&lt;C6,(C4*C8),(C5*C8)+((C4*C8)-(C5*C8))*EXP(-(MOD((120/80*(C6+C7)),(C6+C7))-C6)/(C9*C8))))*1000</f>
        <v/>
      </c>
      <c r="F146" s="25">
        <f>IF(AND(MOD((120/80*(C6+C7)),(C6+C7))&lt;C6,MOD((120/80*(C6+C7)),(C6+C7))&lt;C12),-ABS(C11)*SIN(PI()*MOD((120/80*(C6+C7)),(C6+C7))/C12),0)</f>
        <v/>
      </c>
      <c r="G146" s="25">
        <f>C5*(C10/(C8+C10))+(E146/1000)/C10+F146</f>
        <v/>
      </c>
      <c r="H146" s="25">
        <f>C146-G146</f>
        <v/>
      </c>
      <c r="I146" s="25">
        <f>C5+(E146/1000)/C8</f>
        <v/>
      </c>
    </row>
    <row r="147" ht="12.95" customHeight="1" s="44">
      <c r="B147" s="27">
        <f>(121/80*(C6+C7))</f>
        <v/>
      </c>
      <c r="C147" s="27">
        <f>IF(MOD((121/80*(C6+C7)),(C6+C7))&lt;C6,C4,C5)</f>
        <v/>
      </c>
      <c r="D147" s="27">
        <f>IF(MOD((121/80*(C6+C7)),(C6+C7))&lt;C6,0,-((C4*C8)-(C5*C8))/(C9*C8)*EXP(-(MOD((121/80*(C6+C7)),(C6+C7))-C6)/(C9*C8))*60)</f>
        <v/>
      </c>
      <c r="E147" s="28">
        <f>(IF(MOD((121/80*(C6+C7)),(C6+C7))&lt;C6,(C4*C8),(C5*C8)+((C4*C8)-(C5*C8))*EXP(-(MOD((121/80*(C6+C7)),(C6+C7))-C6)/(C9*C8))))*1000</f>
        <v/>
      </c>
      <c r="F147" s="27">
        <f>IF(AND(MOD((121/80*(C6+C7)),(C6+C7))&lt;C6,MOD((121/80*(C6+C7)),(C6+C7))&lt;C12),-ABS(C11)*SIN(PI()*MOD((121/80*(C6+C7)),(C6+C7))/C12),0)</f>
        <v/>
      </c>
      <c r="G147" s="27">
        <f>C5*(C10/(C8+C10))+(E147/1000)/C10+F147</f>
        <v/>
      </c>
      <c r="H147" s="27">
        <f>C147-G147</f>
        <v/>
      </c>
      <c r="I147" s="27">
        <f>C5+(E147/1000)/C8</f>
        <v/>
      </c>
    </row>
    <row r="148" ht="12.95" customHeight="1" s="44">
      <c r="B148" s="25">
        <f>(122/80*(C6+C7))</f>
        <v/>
      </c>
      <c r="C148" s="25">
        <f>IF(MOD((122/80*(C6+C7)),(C6+C7))&lt;C6,C4,C5)</f>
        <v/>
      </c>
      <c r="D148" s="25">
        <f>IF(MOD((122/80*(C6+C7)),(C6+C7))&lt;C6,0,-((C4*C8)-(C5*C8))/(C9*C8)*EXP(-(MOD((122/80*(C6+C7)),(C6+C7))-C6)/(C9*C8))*60)</f>
        <v/>
      </c>
      <c r="E148" s="26">
        <f>(IF(MOD((122/80*(C6+C7)),(C6+C7))&lt;C6,(C4*C8),(C5*C8)+((C4*C8)-(C5*C8))*EXP(-(MOD((122/80*(C6+C7)),(C6+C7))-C6)/(C9*C8))))*1000</f>
        <v/>
      </c>
      <c r="F148" s="25">
        <f>IF(AND(MOD((122/80*(C6+C7)),(C6+C7))&lt;C6,MOD((122/80*(C6+C7)),(C6+C7))&lt;C12),-ABS(C11)*SIN(PI()*MOD((122/80*(C6+C7)),(C6+C7))/C12),0)</f>
        <v/>
      </c>
      <c r="G148" s="25">
        <f>C5*(C10/(C8+C10))+(E148/1000)/C10+F148</f>
        <v/>
      </c>
      <c r="H148" s="25">
        <f>C148-G148</f>
        <v/>
      </c>
      <c r="I148" s="25">
        <f>C5+(E148/1000)/C8</f>
        <v/>
      </c>
    </row>
    <row r="149" ht="12.95" customHeight="1" s="44">
      <c r="B149" s="27">
        <f>(123/80*(C6+C7))</f>
        <v/>
      </c>
      <c r="C149" s="27">
        <f>IF(MOD((123/80*(C6+C7)),(C6+C7))&lt;C6,C4,C5)</f>
        <v/>
      </c>
      <c r="D149" s="27">
        <f>IF(MOD((123/80*(C6+C7)),(C6+C7))&lt;C6,0,-((C4*C8)-(C5*C8))/(C9*C8)*EXP(-(MOD((123/80*(C6+C7)),(C6+C7))-C6)/(C9*C8))*60)</f>
        <v/>
      </c>
      <c r="E149" s="28">
        <f>(IF(MOD((123/80*(C6+C7)),(C6+C7))&lt;C6,(C4*C8),(C5*C8)+((C4*C8)-(C5*C8))*EXP(-(MOD((123/80*(C6+C7)),(C6+C7))-C6)/(C9*C8))))*1000</f>
        <v/>
      </c>
      <c r="F149" s="27">
        <f>IF(AND(MOD((123/80*(C6+C7)),(C6+C7))&lt;C6,MOD((123/80*(C6+C7)),(C6+C7))&lt;C12),-ABS(C11)*SIN(PI()*MOD((123/80*(C6+C7)),(C6+C7))/C12),0)</f>
        <v/>
      </c>
      <c r="G149" s="27">
        <f>C5*(C10/(C8+C10))+(E149/1000)/C10+F149</f>
        <v/>
      </c>
      <c r="H149" s="27">
        <f>C149-G149</f>
        <v/>
      </c>
      <c r="I149" s="27">
        <f>C5+(E149/1000)/C8</f>
        <v/>
      </c>
    </row>
    <row r="150" ht="12.95" customHeight="1" s="44">
      <c r="B150" s="25">
        <f>(124/80*(C6+C7))</f>
        <v/>
      </c>
      <c r="C150" s="25">
        <f>IF(MOD((124/80*(C6+C7)),(C6+C7))&lt;C6,C4,C5)</f>
        <v/>
      </c>
      <c r="D150" s="25">
        <f>IF(MOD((124/80*(C6+C7)),(C6+C7))&lt;C6,0,-((C4*C8)-(C5*C8))/(C9*C8)*EXP(-(MOD((124/80*(C6+C7)),(C6+C7))-C6)/(C9*C8))*60)</f>
        <v/>
      </c>
      <c r="E150" s="26">
        <f>(IF(MOD((124/80*(C6+C7)),(C6+C7))&lt;C6,(C4*C8),(C5*C8)+((C4*C8)-(C5*C8))*EXP(-(MOD((124/80*(C6+C7)),(C6+C7))-C6)/(C9*C8))))*1000</f>
        <v/>
      </c>
      <c r="F150" s="25">
        <f>IF(AND(MOD((124/80*(C6+C7)),(C6+C7))&lt;C6,MOD((124/80*(C6+C7)),(C6+C7))&lt;C12),-ABS(C11)*SIN(PI()*MOD((124/80*(C6+C7)),(C6+C7))/C12),0)</f>
        <v/>
      </c>
      <c r="G150" s="25">
        <f>C5*(C10/(C8+C10))+(E150/1000)/C10+F150</f>
        <v/>
      </c>
      <c r="H150" s="25">
        <f>C150-G150</f>
        <v/>
      </c>
      <c r="I150" s="25">
        <f>C5+(E150/1000)/C8</f>
        <v/>
      </c>
    </row>
    <row r="151" ht="12.95" customHeight="1" s="44">
      <c r="B151" s="27">
        <f>(125/80*(C6+C7))</f>
        <v/>
      </c>
      <c r="C151" s="27">
        <f>IF(MOD((125/80*(C6+C7)),(C6+C7))&lt;C6,C4,C5)</f>
        <v/>
      </c>
      <c r="D151" s="27">
        <f>IF(MOD((125/80*(C6+C7)),(C6+C7))&lt;C6,0,-((C4*C8)-(C5*C8))/(C9*C8)*EXP(-(MOD((125/80*(C6+C7)),(C6+C7))-C6)/(C9*C8))*60)</f>
        <v/>
      </c>
      <c r="E151" s="28">
        <f>(IF(MOD((125/80*(C6+C7)),(C6+C7))&lt;C6,(C4*C8),(C5*C8)+((C4*C8)-(C5*C8))*EXP(-(MOD((125/80*(C6+C7)),(C6+C7))-C6)/(C9*C8))))*1000</f>
        <v/>
      </c>
      <c r="F151" s="27">
        <f>IF(AND(MOD((125/80*(C6+C7)),(C6+C7))&lt;C6,MOD((125/80*(C6+C7)),(C6+C7))&lt;C12),-ABS(C11)*SIN(PI()*MOD((125/80*(C6+C7)),(C6+C7))/C12),0)</f>
        <v/>
      </c>
      <c r="G151" s="27">
        <f>C5*(C10/(C8+C10))+(E151/1000)/C10+F151</f>
        <v/>
      </c>
      <c r="H151" s="27">
        <f>C151-G151</f>
        <v/>
      </c>
      <c r="I151" s="27">
        <f>C5+(E151/1000)/C8</f>
        <v/>
      </c>
    </row>
    <row r="152" ht="12.95" customHeight="1" s="44">
      <c r="B152" s="25">
        <f>(126/80*(C6+C7))</f>
        <v/>
      </c>
      <c r="C152" s="25">
        <f>IF(MOD((126/80*(C6+C7)),(C6+C7))&lt;C6,C4,C5)</f>
        <v/>
      </c>
      <c r="D152" s="25">
        <f>IF(MOD((126/80*(C6+C7)),(C6+C7))&lt;C6,0,-((C4*C8)-(C5*C8))/(C9*C8)*EXP(-(MOD((126/80*(C6+C7)),(C6+C7))-C6)/(C9*C8))*60)</f>
        <v/>
      </c>
      <c r="E152" s="26">
        <f>(IF(MOD((126/80*(C6+C7)),(C6+C7))&lt;C6,(C4*C8),(C5*C8)+((C4*C8)-(C5*C8))*EXP(-(MOD((126/80*(C6+C7)),(C6+C7))-C6)/(C9*C8))))*1000</f>
        <v/>
      </c>
      <c r="F152" s="25">
        <f>IF(AND(MOD((126/80*(C6+C7)),(C6+C7))&lt;C6,MOD((126/80*(C6+C7)),(C6+C7))&lt;C12),-ABS(C11)*SIN(PI()*MOD((126/80*(C6+C7)),(C6+C7))/C12),0)</f>
        <v/>
      </c>
      <c r="G152" s="25">
        <f>C5*(C10/(C8+C10))+(E152/1000)/C10+F152</f>
        <v/>
      </c>
      <c r="H152" s="25">
        <f>C152-G152</f>
        <v/>
      </c>
      <c r="I152" s="25">
        <f>C5+(E152/1000)/C8</f>
        <v/>
      </c>
    </row>
    <row r="153" ht="12.95" customHeight="1" s="44">
      <c r="B153" s="27">
        <f>(127/80*(C6+C7))</f>
        <v/>
      </c>
      <c r="C153" s="27">
        <f>IF(MOD((127/80*(C6+C7)),(C6+C7))&lt;C6,C4,C5)</f>
        <v/>
      </c>
      <c r="D153" s="27">
        <f>IF(MOD((127/80*(C6+C7)),(C6+C7))&lt;C6,0,-((C4*C8)-(C5*C8))/(C9*C8)*EXP(-(MOD((127/80*(C6+C7)),(C6+C7))-C6)/(C9*C8))*60)</f>
        <v/>
      </c>
      <c r="E153" s="28">
        <f>(IF(MOD((127/80*(C6+C7)),(C6+C7))&lt;C6,(C4*C8),(C5*C8)+((C4*C8)-(C5*C8))*EXP(-(MOD((127/80*(C6+C7)),(C6+C7))-C6)/(C9*C8))))*1000</f>
        <v/>
      </c>
      <c r="F153" s="27">
        <f>IF(AND(MOD((127/80*(C6+C7)),(C6+C7))&lt;C6,MOD((127/80*(C6+C7)),(C6+C7))&lt;C12),-ABS(C11)*SIN(PI()*MOD((127/80*(C6+C7)),(C6+C7))/C12),0)</f>
        <v/>
      </c>
      <c r="G153" s="27">
        <f>C5*(C10/(C8+C10))+(E153/1000)/C10+F153</f>
        <v/>
      </c>
      <c r="H153" s="27">
        <f>C153-G153</f>
        <v/>
      </c>
      <c r="I153" s="27">
        <f>C5+(E153/1000)/C8</f>
        <v/>
      </c>
    </row>
    <row r="154" ht="12.95" customHeight="1" s="44">
      <c r="B154" s="25">
        <f>(128/80*(C6+C7))</f>
        <v/>
      </c>
      <c r="C154" s="25">
        <f>IF(MOD((128/80*(C6+C7)),(C6+C7))&lt;C6,C4,C5)</f>
        <v/>
      </c>
      <c r="D154" s="25">
        <f>IF(MOD((128/80*(C6+C7)),(C6+C7))&lt;C6,0,-((C4*C8)-(C5*C8))/(C9*C8)*EXP(-(MOD((128/80*(C6+C7)),(C6+C7))-C6)/(C9*C8))*60)</f>
        <v/>
      </c>
      <c r="E154" s="26">
        <f>(IF(MOD((128/80*(C6+C7)),(C6+C7))&lt;C6,(C4*C8),(C5*C8)+((C4*C8)-(C5*C8))*EXP(-(MOD((128/80*(C6+C7)),(C6+C7))-C6)/(C9*C8))))*1000</f>
        <v/>
      </c>
      <c r="F154" s="25">
        <f>IF(AND(MOD((128/80*(C6+C7)),(C6+C7))&lt;C6,MOD((128/80*(C6+C7)),(C6+C7))&lt;C12),-ABS(C11)*SIN(PI()*MOD((128/80*(C6+C7)),(C6+C7))/C12),0)</f>
        <v/>
      </c>
      <c r="G154" s="25">
        <f>C5*(C10/(C8+C10))+(E154/1000)/C10+F154</f>
        <v/>
      </c>
      <c r="H154" s="25">
        <f>C154-G154</f>
        <v/>
      </c>
      <c r="I154" s="25">
        <f>C5+(E154/1000)/C8</f>
        <v/>
      </c>
    </row>
    <row r="155" ht="12.95" customHeight="1" s="44">
      <c r="B155" s="27">
        <f>(129/80*(C6+C7))</f>
        <v/>
      </c>
      <c r="C155" s="27">
        <f>IF(MOD((129/80*(C6+C7)),(C6+C7))&lt;C6,C4,C5)</f>
        <v/>
      </c>
      <c r="D155" s="27">
        <f>IF(MOD((129/80*(C6+C7)),(C6+C7))&lt;C6,0,-((C4*C8)-(C5*C8))/(C9*C8)*EXP(-(MOD((129/80*(C6+C7)),(C6+C7))-C6)/(C9*C8))*60)</f>
        <v/>
      </c>
      <c r="E155" s="28">
        <f>(IF(MOD((129/80*(C6+C7)),(C6+C7))&lt;C6,(C4*C8),(C5*C8)+((C4*C8)-(C5*C8))*EXP(-(MOD((129/80*(C6+C7)),(C6+C7))-C6)/(C9*C8))))*1000</f>
        <v/>
      </c>
      <c r="F155" s="27">
        <f>IF(AND(MOD((129/80*(C6+C7)),(C6+C7))&lt;C6,MOD((129/80*(C6+C7)),(C6+C7))&lt;C12),-ABS(C11)*SIN(PI()*MOD((129/80*(C6+C7)),(C6+C7))/C12),0)</f>
        <v/>
      </c>
      <c r="G155" s="27">
        <f>C5*(C10/(C8+C10))+(E155/1000)/C10+F155</f>
        <v/>
      </c>
      <c r="H155" s="27">
        <f>C155-G155</f>
        <v/>
      </c>
      <c r="I155" s="27">
        <f>C5+(E155/1000)/C8</f>
        <v/>
      </c>
    </row>
    <row r="156" ht="12.95" customHeight="1" s="44">
      <c r="B156" s="25">
        <f>(130/80*(C6+C7))</f>
        <v/>
      </c>
      <c r="C156" s="25">
        <f>IF(MOD((130/80*(C6+C7)),(C6+C7))&lt;C6,C4,C5)</f>
        <v/>
      </c>
      <c r="D156" s="25">
        <f>IF(MOD((130/80*(C6+C7)),(C6+C7))&lt;C6,0,-((C4*C8)-(C5*C8))/(C9*C8)*EXP(-(MOD((130/80*(C6+C7)),(C6+C7))-C6)/(C9*C8))*60)</f>
        <v/>
      </c>
      <c r="E156" s="26">
        <f>(IF(MOD((130/80*(C6+C7)),(C6+C7))&lt;C6,(C4*C8),(C5*C8)+((C4*C8)-(C5*C8))*EXP(-(MOD((130/80*(C6+C7)),(C6+C7))-C6)/(C9*C8))))*1000</f>
        <v/>
      </c>
      <c r="F156" s="25">
        <f>IF(AND(MOD((130/80*(C6+C7)),(C6+C7))&lt;C6,MOD((130/80*(C6+C7)),(C6+C7))&lt;C12),-ABS(C11)*SIN(PI()*MOD((130/80*(C6+C7)),(C6+C7))/C12),0)</f>
        <v/>
      </c>
      <c r="G156" s="25">
        <f>C5*(C10/(C8+C10))+(E156/1000)/C10+F156</f>
        <v/>
      </c>
      <c r="H156" s="25">
        <f>C156-G156</f>
        <v/>
      </c>
      <c r="I156" s="25">
        <f>C5+(E156/1000)/C8</f>
        <v/>
      </c>
    </row>
    <row r="157" ht="12.95" customHeight="1" s="44">
      <c r="B157" s="27">
        <f>(131/80*(C6+C7))</f>
        <v/>
      </c>
      <c r="C157" s="27">
        <f>IF(MOD((131/80*(C6+C7)),(C6+C7))&lt;C6,C4,C5)</f>
        <v/>
      </c>
      <c r="D157" s="27">
        <f>IF(MOD((131/80*(C6+C7)),(C6+C7))&lt;C6,0,-((C4*C8)-(C5*C8))/(C9*C8)*EXP(-(MOD((131/80*(C6+C7)),(C6+C7))-C6)/(C9*C8))*60)</f>
        <v/>
      </c>
      <c r="E157" s="28">
        <f>(IF(MOD((131/80*(C6+C7)),(C6+C7))&lt;C6,(C4*C8),(C5*C8)+((C4*C8)-(C5*C8))*EXP(-(MOD((131/80*(C6+C7)),(C6+C7))-C6)/(C9*C8))))*1000</f>
        <v/>
      </c>
      <c r="F157" s="27">
        <f>IF(AND(MOD((131/80*(C6+C7)),(C6+C7))&lt;C6,MOD((131/80*(C6+C7)),(C6+C7))&lt;C12),-ABS(C11)*SIN(PI()*MOD((131/80*(C6+C7)),(C6+C7))/C12),0)</f>
        <v/>
      </c>
      <c r="G157" s="27">
        <f>C5*(C10/(C8+C10))+(E157/1000)/C10+F157</f>
        <v/>
      </c>
      <c r="H157" s="27">
        <f>C157-G157</f>
        <v/>
      </c>
      <c r="I157" s="27">
        <f>C5+(E157/1000)/C8</f>
        <v/>
      </c>
    </row>
    <row r="158" ht="12.95" customHeight="1" s="44">
      <c r="B158" s="25">
        <f>(132/80*(C6+C7))</f>
        <v/>
      </c>
      <c r="C158" s="25">
        <f>IF(MOD((132/80*(C6+C7)),(C6+C7))&lt;C6,C4,C5)</f>
        <v/>
      </c>
      <c r="D158" s="25">
        <f>IF(MOD((132/80*(C6+C7)),(C6+C7))&lt;C6,0,-((C4*C8)-(C5*C8))/(C9*C8)*EXP(-(MOD((132/80*(C6+C7)),(C6+C7))-C6)/(C9*C8))*60)</f>
        <v/>
      </c>
      <c r="E158" s="26">
        <f>(IF(MOD((132/80*(C6+C7)),(C6+C7))&lt;C6,(C4*C8),(C5*C8)+((C4*C8)-(C5*C8))*EXP(-(MOD((132/80*(C6+C7)),(C6+C7))-C6)/(C9*C8))))*1000</f>
        <v/>
      </c>
      <c r="F158" s="25">
        <f>IF(AND(MOD((132/80*(C6+C7)),(C6+C7))&lt;C6,MOD((132/80*(C6+C7)),(C6+C7))&lt;C12),-ABS(C11)*SIN(PI()*MOD((132/80*(C6+C7)),(C6+C7))/C12),0)</f>
        <v/>
      </c>
      <c r="G158" s="25">
        <f>C5*(C10/(C8+C10))+(E158/1000)/C10+F158</f>
        <v/>
      </c>
      <c r="H158" s="25">
        <f>C158-G158</f>
        <v/>
      </c>
      <c r="I158" s="25">
        <f>C5+(E158/1000)/C8</f>
        <v/>
      </c>
    </row>
    <row r="159" ht="12.95" customHeight="1" s="44">
      <c r="B159" s="27">
        <f>(133/80*(C6+C7))</f>
        <v/>
      </c>
      <c r="C159" s="27">
        <f>IF(MOD((133/80*(C6+C7)),(C6+C7))&lt;C6,C4,C5)</f>
        <v/>
      </c>
      <c r="D159" s="27">
        <f>IF(MOD((133/80*(C6+C7)),(C6+C7))&lt;C6,0,-((C4*C8)-(C5*C8))/(C9*C8)*EXP(-(MOD((133/80*(C6+C7)),(C6+C7))-C6)/(C9*C8))*60)</f>
        <v/>
      </c>
      <c r="E159" s="28">
        <f>(IF(MOD((133/80*(C6+C7)),(C6+C7))&lt;C6,(C4*C8),(C5*C8)+((C4*C8)-(C5*C8))*EXP(-(MOD((133/80*(C6+C7)),(C6+C7))-C6)/(C9*C8))))*1000</f>
        <v/>
      </c>
      <c r="F159" s="27">
        <f>IF(AND(MOD((133/80*(C6+C7)),(C6+C7))&lt;C6,MOD((133/80*(C6+C7)),(C6+C7))&lt;C12),-ABS(C11)*SIN(PI()*MOD((133/80*(C6+C7)),(C6+C7))/C12),0)</f>
        <v/>
      </c>
      <c r="G159" s="27">
        <f>C5*(C10/(C8+C10))+(E159/1000)/C10+F159</f>
        <v/>
      </c>
      <c r="H159" s="27">
        <f>C159-G159</f>
        <v/>
      </c>
      <c r="I159" s="27">
        <f>C5+(E159/1000)/C8</f>
        <v/>
      </c>
    </row>
    <row r="160" ht="12.95" customHeight="1" s="44">
      <c r="B160" s="25">
        <f>(134/80*(C6+C7))</f>
        <v/>
      </c>
      <c r="C160" s="25">
        <f>IF(MOD((134/80*(C6+C7)),(C6+C7))&lt;C6,C4,C5)</f>
        <v/>
      </c>
      <c r="D160" s="25">
        <f>IF(MOD((134/80*(C6+C7)),(C6+C7))&lt;C6,0,-((C4*C8)-(C5*C8))/(C9*C8)*EXP(-(MOD((134/80*(C6+C7)),(C6+C7))-C6)/(C9*C8))*60)</f>
        <v/>
      </c>
      <c r="E160" s="26">
        <f>(IF(MOD((134/80*(C6+C7)),(C6+C7))&lt;C6,(C4*C8),(C5*C8)+((C4*C8)-(C5*C8))*EXP(-(MOD((134/80*(C6+C7)),(C6+C7))-C6)/(C9*C8))))*1000</f>
        <v/>
      </c>
      <c r="F160" s="25">
        <f>IF(AND(MOD((134/80*(C6+C7)),(C6+C7))&lt;C6,MOD((134/80*(C6+C7)),(C6+C7))&lt;C12),-ABS(C11)*SIN(PI()*MOD((134/80*(C6+C7)),(C6+C7))/C12),0)</f>
        <v/>
      </c>
      <c r="G160" s="25">
        <f>C5*(C10/(C8+C10))+(E160/1000)/C10+F160</f>
        <v/>
      </c>
      <c r="H160" s="25">
        <f>C160-G160</f>
        <v/>
      </c>
      <c r="I160" s="25">
        <f>C5+(E160/1000)/C8</f>
        <v/>
      </c>
    </row>
    <row r="161" ht="12.95" customHeight="1" s="44">
      <c r="B161" s="27">
        <f>(135/80*(C6+C7))</f>
        <v/>
      </c>
      <c r="C161" s="27">
        <f>IF(MOD((135/80*(C6+C7)),(C6+C7))&lt;C6,C4,C5)</f>
        <v/>
      </c>
      <c r="D161" s="27">
        <f>IF(MOD((135/80*(C6+C7)),(C6+C7))&lt;C6,0,-((C4*C8)-(C5*C8))/(C9*C8)*EXP(-(MOD((135/80*(C6+C7)),(C6+C7))-C6)/(C9*C8))*60)</f>
        <v/>
      </c>
      <c r="E161" s="28">
        <f>(IF(MOD((135/80*(C6+C7)),(C6+C7))&lt;C6,(C4*C8),(C5*C8)+((C4*C8)-(C5*C8))*EXP(-(MOD((135/80*(C6+C7)),(C6+C7))-C6)/(C9*C8))))*1000</f>
        <v/>
      </c>
      <c r="F161" s="27">
        <f>IF(AND(MOD((135/80*(C6+C7)),(C6+C7))&lt;C6,MOD((135/80*(C6+C7)),(C6+C7))&lt;C12),-ABS(C11)*SIN(PI()*MOD((135/80*(C6+C7)),(C6+C7))/C12),0)</f>
        <v/>
      </c>
      <c r="G161" s="27">
        <f>C5*(C10/(C8+C10))+(E161/1000)/C10+F161</f>
        <v/>
      </c>
      <c r="H161" s="27">
        <f>C161-G161</f>
        <v/>
      </c>
      <c r="I161" s="27">
        <f>C5+(E161/1000)/C8</f>
        <v/>
      </c>
    </row>
    <row r="162" ht="12.95" customHeight="1" s="44">
      <c r="B162" s="25">
        <f>(136/80*(C6+C7))</f>
        <v/>
      </c>
      <c r="C162" s="25">
        <f>IF(MOD((136/80*(C6+C7)),(C6+C7))&lt;C6,C4,C5)</f>
        <v/>
      </c>
      <c r="D162" s="25">
        <f>IF(MOD((136/80*(C6+C7)),(C6+C7))&lt;C6,0,-((C4*C8)-(C5*C8))/(C9*C8)*EXP(-(MOD((136/80*(C6+C7)),(C6+C7))-C6)/(C9*C8))*60)</f>
        <v/>
      </c>
      <c r="E162" s="26">
        <f>(IF(MOD((136/80*(C6+C7)),(C6+C7))&lt;C6,(C4*C8),(C5*C8)+((C4*C8)-(C5*C8))*EXP(-(MOD((136/80*(C6+C7)),(C6+C7))-C6)/(C9*C8))))*1000</f>
        <v/>
      </c>
      <c r="F162" s="25">
        <f>IF(AND(MOD((136/80*(C6+C7)),(C6+C7))&lt;C6,MOD((136/80*(C6+C7)),(C6+C7))&lt;C12),-ABS(C11)*SIN(PI()*MOD((136/80*(C6+C7)),(C6+C7))/C12),0)</f>
        <v/>
      </c>
      <c r="G162" s="25">
        <f>C5*(C10/(C8+C10))+(E162/1000)/C10+F162</f>
        <v/>
      </c>
      <c r="H162" s="25">
        <f>C162-G162</f>
        <v/>
      </c>
      <c r="I162" s="25">
        <f>C5+(E162/1000)/C8</f>
        <v/>
      </c>
    </row>
    <row r="163" ht="12.95" customHeight="1" s="44">
      <c r="B163" s="27">
        <f>(137/80*(C6+C7))</f>
        <v/>
      </c>
      <c r="C163" s="27">
        <f>IF(MOD((137/80*(C6+C7)),(C6+C7))&lt;C6,C4,C5)</f>
        <v/>
      </c>
      <c r="D163" s="27">
        <f>IF(MOD((137/80*(C6+C7)),(C6+C7))&lt;C6,0,-((C4*C8)-(C5*C8))/(C9*C8)*EXP(-(MOD((137/80*(C6+C7)),(C6+C7))-C6)/(C9*C8))*60)</f>
        <v/>
      </c>
      <c r="E163" s="28">
        <f>(IF(MOD((137/80*(C6+C7)),(C6+C7))&lt;C6,(C4*C8),(C5*C8)+((C4*C8)-(C5*C8))*EXP(-(MOD((137/80*(C6+C7)),(C6+C7))-C6)/(C9*C8))))*1000</f>
        <v/>
      </c>
      <c r="F163" s="27">
        <f>IF(AND(MOD((137/80*(C6+C7)),(C6+C7))&lt;C6,MOD((137/80*(C6+C7)),(C6+C7))&lt;C12),-ABS(C11)*SIN(PI()*MOD((137/80*(C6+C7)),(C6+C7))/C12),0)</f>
        <v/>
      </c>
      <c r="G163" s="27">
        <f>C5*(C10/(C8+C10))+(E163/1000)/C10+F163</f>
        <v/>
      </c>
      <c r="H163" s="27">
        <f>C163-G163</f>
        <v/>
      </c>
      <c r="I163" s="27">
        <f>C5+(E163/1000)/C8</f>
        <v/>
      </c>
    </row>
    <row r="164" ht="12.95" customHeight="1" s="44">
      <c r="B164" s="25">
        <f>(138/80*(C6+C7))</f>
        <v/>
      </c>
      <c r="C164" s="25">
        <f>IF(MOD((138/80*(C6+C7)),(C6+C7))&lt;C6,C4,C5)</f>
        <v/>
      </c>
      <c r="D164" s="25">
        <f>IF(MOD((138/80*(C6+C7)),(C6+C7))&lt;C6,0,-((C4*C8)-(C5*C8))/(C9*C8)*EXP(-(MOD((138/80*(C6+C7)),(C6+C7))-C6)/(C9*C8))*60)</f>
        <v/>
      </c>
      <c r="E164" s="26">
        <f>(IF(MOD((138/80*(C6+C7)),(C6+C7))&lt;C6,(C4*C8),(C5*C8)+((C4*C8)-(C5*C8))*EXP(-(MOD((138/80*(C6+C7)),(C6+C7))-C6)/(C9*C8))))*1000</f>
        <v/>
      </c>
      <c r="F164" s="25">
        <f>IF(AND(MOD((138/80*(C6+C7)),(C6+C7))&lt;C6,MOD((138/80*(C6+C7)),(C6+C7))&lt;C12),-ABS(C11)*SIN(PI()*MOD((138/80*(C6+C7)),(C6+C7))/C12),0)</f>
        <v/>
      </c>
      <c r="G164" s="25">
        <f>C5*(C10/(C8+C10))+(E164/1000)/C10+F164</f>
        <v/>
      </c>
      <c r="H164" s="25">
        <f>C164-G164</f>
        <v/>
      </c>
      <c r="I164" s="25">
        <f>C5+(E164/1000)/C8</f>
        <v/>
      </c>
    </row>
    <row r="165" ht="12.95" customHeight="1" s="44">
      <c r="B165" s="27">
        <f>(139/80*(C6+C7))</f>
        <v/>
      </c>
      <c r="C165" s="27">
        <f>IF(MOD((139/80*(C6+C7)),(C6+C7))&lt;C6,C4,C5)</f>
        <v/>
      </c>
      <c r="D165" s="27">
        <f>IF(MOD((139/80*(C6+C7)),(C6+C7))&lt;C6,0,-((C4*C8)-(C5*C8))/(C9*C8)*EXP(-(MOD((139/80*(C6+C7)),(C6+C7))-C6)/(C9*C8))*60)</f>
        <v/>
      </c>
      <c r="E165" s="28">
        <f>(IF(MOD((139/80*(C6+C7)),(C6+C7))&lt;C6,(C4*C8),(C5*C8)+((C4*C8)-(C5*C8))*EXP(-(MOD((139/80*(C6+C7)),(C6+C7))-C6)/(C9*C8))))*1000</f>
        <v/>
      </c>
      <c r="F165" s="27">
        <f>IF(AND(MOD((139/80*(C6+C7)),(C6+C7))&lt;C6,MOD((139/80*(C6+C7)),(C6+C7))&lt;C12),-ABS(C11)*SIN(PI()*MOD((139/80*(C6+C7)),(C6+C7))/C12),0)</f>
        <v/>
      </c>
      <c r="G165" s="27">
        <f>C5*(C10/(C8+C10))+(E165/1000)/C10+F165</f>
        <v/>
      </c>
      <c r="H165" s="27">
        <f>C165-G165</f>
        <v/>
      </c>
      <c r="I165" s="27">
        <f>C5+(E165/1000)/C8</f>
        <v/>
      </c>
    </row>
    <row r="166" ht="12.95" customHeight="1" s="44">
      <c r="B166" s="25">
        <f>(140/80*(C6+C7))</f>
        <v/>
      </c>
      <c r="C166" s="25">
        <f>IF(MOD((140/80*(C6+C7)),(C6+C7))&lt;C6,C4,C5)</f>
        <v/>
      </c>
      <c r="D166" s="25">
        <f>IF(MOD((140/80*(C6+C7)),(C6+C7))&lt;C6,0,-((C4*C8)-(C5*C8))/(C9*C8)*EXP(-(MOD((140/80*(C6+C7)),(C6+C7))-C6)/(C9*C8))*60)</f>
        <v/>
      </c>
      <c r="E166" s="26">
        <f>(IF(MOD((140/80*(C6+C7)),(C6+C7))&lt;C6,(C4*C8),(C5*C8)+((C4*C8)-(C5*C8))*EXP(-(MOD((140/80*(C6+C7)),(C6+C7))-C6)/(C9*C8))))*1000</f>
        <v/>
      </c>
      <c r="F166" s="25">
        <f>IF(AND(MOD((140/80*(C6+C7)),(C6+C7))&lt;C6,MOD((140/80*(C6+C7)),(C6+C7))&lt;C12),-ABS(C11)*SIN(PI()*MOD((140/80*(C6+C7)),(C6+C7))/C12),0)</f>
        <v/>
      </c>
      <c r="G166" s="25">
        <f>C5*(C10/(C8+C10))+(E166/1000)/C10+F166</f>
        <v/>
      </c>
      <c r="H166" s="25">
        <f>C166-G166</f>
        <v/>
      </c>
      <c r="I166" s="25">
        <f>C5+(E166/1000)/C8</f>
        <v/>
      </c>
    </row>
    <row r="167" ht="12.95" customHeight="1" s="44">
      <c r="B167" s="27">
        <f>(141/80*(C6+C7))</f>
        <v/>
      </c>
      <c r="C167" s="27">
        <f>IF(MOD((141/80*(C6+C7)),(C6+C7))&lt;C6,C4,C5)</f>
        <v/>
      </c>
      <c r="D167" s="27">
        <f>IF(MOD((141/80*(C6+C7)),(C6+C7))&lt;C6,0,-((C4*C8)-(C5*C8))/(C9*C8)*EXP(-(MOD((141/80*(C6+C7)),(C6+C7))-C6)/(C9*C8))*60)</f>
        <v/>
      </c>
      <c r="E167" s="28">
        <f>(IF(MOD((141/80*(C6+C7)),(C6+C7))&lt;C6,(C4*C8),(C5*C8)+((C4*C8)-(C5*C8))*EXP(-(MOD((141/80*(C6+C7)),(C6+C7))-C6)/(C9*C8))))*1000</f>
        <v/>
      </c>
      <c r="F167" s="27">
        <f>IF(AND(MOD((141/80*(C6+C7)),(C6+C7))&lt;C6,MOD((141/80*(C6+C7)),(C6+C7))&lt;C12),-ABS(C11)*SIN(PI()*MOD((141/80*(C6+C7)),(C6+C7))/C12),0)</f>
        <v/>
      </c>
      <c r="G167" s="27">
        <f>C5*(C10/(C8+C10))+(E167/1000)/C10+F167</f>
        <v/>
      </c>
      <c r="H167" s="27">
        <f>C167-G167</f>
        <v/>
      </c>
      <c r="I167" s="27">
        <f>C5+(E167/1000)/C8</f>
        <v/>
      </c>
    </row>
    <row r="168" ht="12.95" customHeight="1" s="44">
      <c r="B168" s="25">
        <f>(142/80*(C6+C7))</f>
        <v/>
      </c>
      <c r="C168" s="25">
        <f>IF(MOD((142/80*(C6+C7)),(C6+C7))&lt;C6,C4,C5)</f>
        <v/>
      </c>
      <c r="D168" s="25">
        <f>IF(MOD((142/80*(C6+C7)),(C6+C7))&lt;C6,0,-((C4*C8)-(C5*C8))/(C9*C8)*EXP(-(MOD((142/80*(C6+C7)),(C6+C7))-C6)/(C9*C8))*60)</f>
        <v/>
      </c>
      <c r="E168" s="26">
        <f>(IF(MOD((142/80*(C6+C7)),(C6+C7))&lt;C6,(C4*C8),(C5*C8)+((C4*C8)-(C5*C8))*EXP(-(MOD((142/80*(C6+C7)),(C6+C7))-C6)/(C9*C8))))*1000</f>
        <v/>
      </c>
      <c r="F168" s="25">
        <f>IF(AND(MOD((142/80*(C6+C7)),(C6+C7))&lt;C6,MOD((142/80*(C6+C7)),(C6+C7))&lt;C12),-ABS(C11)*SIN(PI()*MOD((142/80*(C6+C7)),(C6+C7))/C12),0)</f>
        <v/>
      </c>
      <c r="G168" s="25">
        <f>C5*(C10/(C8+C10))+(E168/1000)/C10+F168</f>
        <v/>
      </c>
      <c r="H168" s="25">
        <f>C168-G168</f>
        <v/>
      </c>
      <c r="I168" s="25">
        <f>C5+(E168/1000)/C8</f>
        <v/>
      </c>
    </row>
    <row r="169" ht="12.95" customHeight="1" s="44">
      <c r="B169" s="27">
        <f>(143/80*(C6+C7))</f>
        <v/>
      </c>
      <c r="C169" s="27">
        <f>IF(MOD((143/80*(C6+C7)),(C6+C7))&lt;C6,C4,C5)</f>
        <v/>
      </c>
      <c r="D169" s="27">
        <f>IF(MOD((143/80*(C6+C7)),(C6+C7))&lt;C6,0,-((C4*C8)-(C5*C8))/(C9*C8)*EXP(-(MOD((143/80*(C6+C7)),(C6+C7))-C6)/(C9*C8))*60)</f>
        <v/>
      </c>
      <c r="E169" s="28">
        <f>(IF(MOD((143/80*(C6+C7)),(C6+C7))&lt;C6,(C4*C8),(C5*C8)+((C4*C8)-(C5*C8))*EXP(-(MOD((143/80*(C6+C7)),(C6+C7))-C6)/(C9*C8))))*1000</f>
        <v/>
      </c>
      <c r="F169" s="27">
        <f>IF(AND(MOD((143/80*(C6+C7)),(C6+C7))&lt;C6,MOD((143/80*(C6+C7)),(C6+C7))&lt;C12),-ABS(C11)*SIN(PI()*MOD((143/80*(C6+C7)),(C6+C7))/C12),0)</f>
        <v/>
      </c>
      <c r="G169" s="27">
        <f>C5*(C10/(C8+C10))+(E169/1000)/C10+F169</f>
        <v/>
      </c>
      <c r="H169" s="27">
        <f>C169-G169</f>
        <v/>
      </c>
      <c r="I169" s="27">
        <f>C5+(E169/1000)/C8</f>
        <v/>
      </c>
    </row>
    <row r="170" ht="12.95" customHeight="1" s="44">
      <c r="B170" s="25">
        <f>(144/80*(C6+C7))</f>
        <v/>
      </c>
      <c r="C170" s="25">
        <f>IF(MOD((144/80*(C6+C7)),(C6+C7))&lt;C6,C4,C5)</f>
        <v/>
      </c>
      <c r="D170" s="25">
        <f>IF(MOD((144/80*(C6+C7)),(C6+C7))&lt;C6,0,-((C4*C8)-(C5*C8))/(C9*C8)*EXP(-(MOD((144/80*(C6+C7)),(C6+C7))-C6)/(C9*C8))*60)</f>
        <v/>
      </c>
      <c r="E170" s="26">
        <f>(IF(MOD((144/80*(C6+C7)),(C6+C7))&lt;C6,(C4*C8),(C5*C8)+((C4*C8)-(C5*C8))*EXP(-(MOD((144/80*(C6+C7)),(C6+C7))-C6)/(C9*C8))))*1000</f>
        <v/>
      </c>
      <c r="F170" s="25">
        <f>IF(AND(MOD((144/80*(C6+C7)),(C6+C7))&lt;C6,MOD((144/80*(C6+C7)),(C6+C7))&lt;C12),-ABS(C11)*SIN(PI()*MOD((144/80*(C6+C7)),(C6+C7))/C12),0)</f>
        <v/>
      </c>
      <c r="G170" s="25">
        <f>C5*(C10/(C8+C10))+(E170/1000)/C10+F170</f>
        <v/>
      </c>
      <c r="H170" s="25">
        <f>C170-G170</f>
        <v/>
      </c>
      <c r="I170" s="25">
        <f>C5+(E170/1000)/C8</f>
        <v/>
      </c>
    </row>
    <row r="171" ht="12.95" customHeight="1" s="44">
      <c r="B171" s="27">
        <f>(145/80*(C6+C7))</f>
        <v/>
      </c>
      <c r="C171" s="27">
        <f>IF(MOD((145/80*(C6+C7)),(C6+C7))&lt;C6,C4,C5)</f>
        <v/>
      </c>
      <c r="D171" s="27">
        <f>IF(MOD((145/80*(C6+C7)),(C6+C7))&lt;C6,0,-((C4*C8)-(C5*C8))/(C9*C8)*EXP(-(MOD((145/80*(C6+C7)),(C6+C7))-C6)/(C9*C8))*60)</f>
        <v/>
      </c>
      <c r="E171" s="28">
        <f>(IF(MOD((145/80*(C6+C7)),(C6+C7))&lt;C6,(C4*C8),(C5*C8)+((C4*C8)-(C5*C8))*EXP(-(MOD((145/80*(C6+C7)),(C6+C7))-C6)/(C9*C8))))*1000</f>
        <v/>
      </c>
      <c r="F171" s="27">
        <f>IF(AND(MOD((145/80*(C6+C7)),(C6+C7))&lt;C6,MOD((145/80*(C6+C7)),(C6+C7))&lt;C12),-ABS(C11)*SIN(PI()*MOD((145/80*(C6+C7)),(C6+C7))/C12),0)</f>
        <v/>
      </c>
      <c r="G171" s="27">
        <f>C5*(C10/(C8+C10))+(E171/1000)/C10+F171</f>
        <v/>
      </c>
      <c r="H171" s="27">
        <f>C171-G171</f>
        <v/>
      </c>
      <c r="I171" s="27">
        <f>C5+(E171/1000)/C8</f>
        <v/>
      </c>
    </row>
    <row r="172" ht="12.95" customHeight="1" s="44">
      <c r="B172" s="25">
        <f>(146/80*(C6+C7))</f>
        <v/>
      </c>
      <c r="C172" s="25">
        <f>IF(MOD((146/80*(C6+C7)),(C6+C7))&lt;C6,C4,C5)</f>
        <v/>
      </c>
      <c r="D172" s="25">
        <f>IF(MOD((146/80*(C6+C7)),(C6+C7))&lt;C6,0,-((C4*C8)-(C5*C8))/(C9*C8)*EXP(-(MOD((146/80*(C6+C7)),(C6+C7))-C6)/(C9*C8))*60)</f>
        <v/>
      </c>
      <c r="E172" s="26">
        <f>(IF(MOD((146/80*(C6+C7)),(C6+C7))&lt;C6,(C4*C8),(C5*C8)+((C4*C8)-(C5*C8))*EXP(-(MOD((146/80*(C6+C7)),(C6+C7))-C6)/(C9*C8))))*1000</f>
        <v/>
      </c>
      <c r="F172" s="25">
        <f>IF(AND(MOD((146/80*(C6+C7)),(C6+C7))&lt;C6,MOD((146/80*(C6+C7)),(C6+C7))&lt;C12),-ABS(C11)*SIN(PI()*MOD((146/80*(C6+C7)),(C6+C7))/C12),0)</f>
        <v/>
      </c>
      <c r="G172" s="25">
        <f>C5*(C10/(C8+C10))+(E172/1000)/C10+F172</f>
        <v/>
      </c>
      <c r="H172" s="25">
        <f>C172-G172</f>
        <v/>
      </c>
      <c r="I172" s="25">
        <f>C5+(E172/1000)/C8</f>
        <v/>
      </c>
    </row>
    <row r="173" ht="12.95" customHeight="1" s="44">
      <c r="B173" s="27">
        <f>(147/80*(C6+C7))</f>
        <v/>
      </c>
      <c r="C173" s="27">
        <f>IF(MOD((147/80*(C6+C7)),(C6+C7))&lt;C6,C4,C5)</f>
        <v/>
      </c>
      <c r="D173" s="27">
        <f>IF(MOD((147/80*(C6+C7)),(C6+C7))&lt;C6,0,-((C4*C8)-(C5*C8))/(C9*C8)*EXP(-(MOD((147/80*(C6+C7)),(C6+C7))-C6)/(C9*C8))*60)</f>
        <v/>
      </c>
      <c r="E173" s="28">
        <f>(IF(MOD((147/80*(C6+C7)),(C6+C7))&lt;C6,(C4*C8),(C5*C8)+((C4*C8)-(C5*C8))*EXP(-(MOD((147/80*(C6+C7)),(C6+C7))-C6)/(C9*C8))))*1000</f>
        <v/>
      </c>
      <c r="F173" s="27">
        <f>IF(AND(MOD((147/80*(C6+C7)),(C6+C7))&lt;C6,MOD((147/80*(C6+C7)),(C6+C7))&lt;C12),-ABS(C11)*SIN(PI()*MOD((147/80*(C6+C7)),(C6+C7))/C12),0)</f>
        <v/>
      </c>
      <c r="G173" s="27">
        <f>C5*(C10/(C8+C10))+(E173/1000)/C10+F173</f>
        <v/>
      </c>
      <c r="H173" s="27">
        <f>C173-G173</f>
        <v/>
      </c>
      <c r="I173" s="27">
        <f>C5+(E173/1000)/C8</f>
        <v/>
      </c>
    </row>
    <row r="174" ht="12.95" customHeight="1" s="44">
      <c r="B174" s="25">
        <f>(148/80*(C6+C7))</f>
        <v/>
      </c>
      <c r="C174" s="25">
        <f>IF(MOD((148/80*(C6+C7)),(C6+C7))&lt;C6,C4,C5)</f>
        <v/>
      </c>
      <c r="D174" s="25">
        <f>IF(MOD((148/80*(C6+C7)),(C6+C7))&lt;C6,0,-((C4*C8)-(C5*C8))/(C9*C8)*EXP(-(MOD((148/80*(C6+C7)),(C6+C7))-C6)/(C9*C8))*60)</f>
        <v/>
      </c>
      <c r="E174" s="26">
        <f>(IF(MOD((148/80*(C6+C7)),(C6+C7))&lt;C6,(C4*C8),(C5*C8)+((C4*C8)-(C5*C8))*EXP(-(MOD((148/80*(C6+C7)),(C6+C7))-C6)/(C9*C8))))*1000</f>
        <v/>
      </c>
      <c r="F174" s="25">
        <f>IF(AND(MOD((148/80*(C6+C7)),(C6+C7))&lt;C6,MOD((148/80*(C6+C7)),(C6+C7))&lt;C12),-ABS(C11)*SIN(PI()*MOD((148/80*(C6+C7)),(C6+C7))/C12),0)</f>
        <v/>
      </c>
      <c r="G174" s="25">
        <f>C5*(C10/(C8+C10))+(E174/1000)/C10+F174</f>
        <v/>
      </c>
      <c r="H174" s="25">
        <f>C174-G174</f>
        <v/>
      </c>
      <c r="I174" s="25">
        <f>C5+(E174/1000)/C8</f>
        <v/>
      </c>
    </row>
    <row r="175" ht="12.95" customHeight="1" s="44">
      <c r="B175" s="27">
        <f>(149/80*(C6+C7))</f>
        <v/>
      </c>
      <c r="C175" s="27">
        <f>IF(MOD((149/80*(C6+C7)),(C6+C7))&lt;C6,C4,C5)</f>
        <v/>
      </c>
      <c r="D175" s="27">
        <f>IF(MOD((149/80*(C6+C7)),(C6+C7))&lt;C6,0,-((C4*C8)-(C5*C8))/(C9*C8)*EXP(-(MOD((149/80*(C6+C7)),(C6+C7))-C6)/(C9*C8))*60)</f>
        <v/>
      </c>
      <c r="E175" s="28">
        <f>(IF(MOD((149/80*(C6+C7)),(C6+C7))&lt;C6,(C4*C8),(C5*C8)+((C4*C8)-(C5*C8))*EXP(-(MOD((149/80*(C6+C7)),(C6+C7))-C6)/(C9*C8))))*1000</f>
        <v/>
      </c>
      <c r="F175" s="27">
        <f>IF(AND(MOD((149/80*(C6+C7)),(C6+C7))&lt;C6,MOD((149/80*(C6+C7)),(C6+C7))&lt;C12),-ABS(C11)*SIN(PI()*MOD((149/80*(C6+C7)),(C6+C7))/C12),0)</f>
        <v/>
      </c>
      <c r="G175" s="27">
        <f>C5*(C10/(C8+C10))+(E175/1000)/C10+F175</f>
        <v/>
      </c>
      <c r="H175" s="27">
        <f>C175-G175</f>
        <v/>
      </c>
      <c r="I175" s="27">
        <f>C5+(E175/1000)/C8</f>
        <v/>
      </c>
    </row>
    <row r="176" ht="12.95" customHeight="1" s="44">
      <c r="B176" s="25">
        <f>(150/80*(C6+C7))</f>
        <v/>
      </c>
      <c r="C176" s="25">
        <f>IF(MOD((150/80*(C6+C7)),(C6+C7))&lt;C6,C4,C5)</f>
        <v/>
      </c>
      <c r="D176" s="25">
        <f>IF(MOD((150/80*(C6+C7)),(C6+C7))&lt;C6,0,-((C4*C8)-(C5*C8))/(C9*C8)*EXP(-(MOD((150/80*(C6+C7)),(C6+C7))-C6)/(C9*C8))*60)</f>
        <v/>
      </c>
      <c r="E176" s="26">
        <f>(IF(MOD((150/80*(C6+C7)),(C6+C7))&lt;C6,(C4*C8),(C5*C8)+((C4*C8)-(C5*C8))*EXP(-(MOD((150/80*(C6+C7)),(C6+C7))-C6)/(C9*C8))))*1000</f>
        <v/>
      </c>
      <c r="F176" s="25">
        <f>IF(AND(MOD((150/80*(C6+C7)),(C6+C7))&lt;C6,MOD((150/80*(C6+C7)),(C6+C7))&lt;C12),-ABS(C11)*SIN(PI()*MOD((150/80*(C6+C7)),(C6+C7))/C12),0)</f>
        <v/>
      </c>
      <c r="G176" s="25">
        <f>C5*(C10/(C8+C10))+(E176/1000)/C10+F176</f>
        <v/>
      </c>
      <c r="H176" s="25">
        <f>C176-G176</f>
        <v/>
      </c>
      <c r="I176" s="25">
        <f>C5+(E176/1000)/C8</f>
        <v/>
      </c>
    </row>
    <row r="177" ht="12.95" customHeight="1" s="44">
      <c r="B177" s="27">
        <f>(151/80*(C6+C7))</f>
        <v/>
      </c>
      <c r="C177" s="27">
        <f>IF(MOD((151/80*(C6+C7)),(C6+C7))&lt;C6,C4,C5)</f>
        <v/>
      </c>
      <c r="D177" s="27">
        <f>IF(MOD((151/80*(C6+C7)),(C6+C7))&lt;C6,0,-((C4*C8)-(C5*C8))/(C9*C8)*EXP(-(MOD((151/80*(C6+C7)),(C6+C7))-C6)/(C9*C8))*60)</f>
        <v/>
      </c>
      <c r="E177" s="28">
        <f>(IF(MOD((151/80*(C6+C7)),(C6+C7))&lt;C6,(C4*C8),(C5*C8)+((C4*C8)-(C5*C8))*EXP(-(MOD((151/80*(C6+C7)),(C6+C7))-C6)/(C9*C8))))*1000</f>
        <v/>
      </c>
      <c r="F177" s="27">
        <f>IF(AND(MOD((151/80*(C6+C7)),(C6+C7))&lt;C6,MOD((151/80*(C6+C7)),(C6+C7))&lt;C12),-ABS(C11)*SIN(PI()*MOD((151/80*(C6+C7)),(C6+C7))/C12),0)</f>
        <v/>
      </c>
      <c r="G177" s="27">
        <f>C5*(C10/(C8+C10))+(E177/1000)/C10+F177</f>
        <v/>
      </c>
      <c r="H177" s="27">
        <f>C177-G177</f>
        <v/>
      </c>
      <c r="I177" s="27">
        <f>C5+(E177/1000)/C8</f>
        <v/>
      </c>
    </row>
    <row r="178" ht="12.95" customHeight="1" s="44">
      <c r="B178" s="25">
        <f>(152/80*(C6+C7))</f>
        <v/>
      </c>
      <c r="C178" s="25">
        <f>IF(MOD((152/80*(C6+C7)),(C6+C7))&lt;C6,C4,C5)</f>
        <v/>
      </c>
      <c r="D178" s="25">
        <f>IF(MOD((152/80*(C6+C7)),(C6+C7))&lt;C6,0,-((C4*C8)-(C5*C8))/(C9*C8)*EXP(-(MOD((152/80*(C6+C7)),(C6+C7))-C6)/(C9*C8))*60)</f>
        <v/>
      </c>
      <c r="E178" s="26">
        <f>(IF(MOD((152/80*(C6+C7)),(C6+C7))&lt;C6,(C4*C8),(C5*C8)+((C4*C8)-(C5*C8))*EXP(-(MOD((152/80*(C6+C7)),(C6+C7))-C6)/(C9*C8))))*1000</f>
        <v/>
      </c>
      <c r="F178" s="25">
        <f>IF(AND(MOD((152/80*(C6+C7)),(C6+C7))&lt;C6,MOD((152/80*(C6+C7)),(C6+C7))&lt;C12),-ABS(C11)*SIN(PI()*MOD((152/80*(C6+C7)),(C6+C7))/C12),0)</f>
        <v/>
      </c>
      <c r="G178" s="25">
        <f>C5*(C10/(C8+C10))+(E178/1000)/C10+F178</f>
        <v/>
      </c>
      <c r="H178" s="25">
        <f>C178-G178</f>
        <v/>
      </c>
      <c r="I178" s="25">
        <f>C5+(E178/1000)/C8</f>
        <v/>
      </c>
    </row>
    <row r="179" ht="12.95" customHeight="1" s="44">
      <c r="B179" s="27">
        <f>(153/80*(C6+C7))</f>
        <v/>
      </c>
      <c r="C179" s="27">
        <f>IF(MOD((153/80*(C6+C7)),(C6+C7))&lt;C6,C4,C5)</f>
        <v/>
      </c>
      <c r="D179" s="27">
        <f>IF(MOD((153/80*(C6+C7)),(C6+C7))&lt;C6,0,-((C4*C8)-(C5*C8))/(C9*C8)*EXP(-(MOD((153/80*(C6+C7)),(C6+C7))-C6)/(C9*C8))*60)</f>
        <v/>
      </c>
      <c r="E179" s="28">
        <f>(IF(MOD((153/80*(C6+C7)),(C6+C7))&lt;C6,(C4*C8),(C5*C8)+((C4*C8)-(C5*C8))*EXP(-(MOD((153/80*(C6+C7)),(C6+C7))-C6)/(C9*C8))))*1000</f>
        <v/>
      </c>
      <c r="F179" s="27">
        <f>IF(AND(MOD((153/80*(C6+C7)),(C6+C7))&lt;C6,MOD((153/80*(C6+C7)),(C6+C7))&lt;C12),-ABS(C11)*SIN(PI()*MOD((153/80*(C6+C7)),(C6+C7))/C12),0)</f>
        <v/>
      </c>
      <c r="G179" s="27">
        <f>C5*(C10/(C8+C10))+(E179/1000)/C10+F179</f>
        <v/>
      </c>
      <c r="H179" s="27">
        <f>C179-G179</f>
        <v/>
      </c>
      <c r="I179" s="27">
        <f>C5+(E179/1000)/C8</f>
        <v/>
      </c>
    </row>
    <row r="180" ht="12.95" customHeight="1" s="44">
      <c r="B180" s="25">
        <f>(154/80*(C6+C7))</f>
        <v/>
      </c>
      <c r="C180" s="25">
        <f>IF(MOD((154/80*(C6+C7)),(C6+C7))&lt;C6,C4,C5)</f>
        <v/>
      </c>
      <c r="D180" s="25">
        <f>IF(MOD((154/80*(C6+C7)),(C6+C7))&lt;C6,0,-((C4*C8)-(C5*C8))/(C9*C8)*EXP(-(MOD((154/80*(C6+C7)),(C6+C7))-C6)/(C9*C8))*60)</f>
        <v/>
      </c>
      <c r="E180" s="26">
        <f>(IF(MOD((154/80*(C6+C7)),(C6+C7))&lt;C6,(C4*C8),(C5*C8)+((C4*C8)-(C5*C8))*EXP(-(MOD((154/80*(C6+C7)),(C6+C7))-C6)/(C9*C8))))*1000</f>
        <v/>
      </c>
      <c r="F180" s="25">
        <f>IF(AND(MOD((154/80*(C6+C7)),(C6+C7))&lt;C6,MOD((154/80*(C6+C7)),(C6+C7))&lt;C12),-ABS(C11)*SIN(PI()*MOD((154/80*(C6+C7)),(C6+C7))/C12),0)</f>
        <v/>
      </c>
      <c r="G180" s="25">
        <f>C5*(C10/(C8+C10))+(E180/1000)/C10+F180</f>
        <v/>
      </c>
      <c r="H180" s="25">
        <f>C180-G180</f>
        <v/>
      </c>
      <c r="I180" s="25">
        <f>C5+(E180/1000)/C8</f>
        <v/>
      </c>
    </row>
    <row r="181" ht="12.95" customHeight="1" s="44">
      <c r="B181" s="27">
        <f>(155/80*(C6+C7))</f>
        <v/>
      </c>
      <c r="C181" s="27">
        <f>IF(MOD((155/80*(C6+C7)),(C6+C7))&lt;C6,C4,C5)</f>
        <v/>
      </c>
      <c r="D181" s="27">
        <f>IF(MOD((155/80*(C6+C7)),(C6+C7))&lt;C6,0,-((C4*C8)-(C5*C8))/(C9*C8)*EXP(-(MOD((155/80*(C6+C7)),(C6+C7))-C6)/(C9*C8))*60)</f>
        <v/>
      </c>
      <c r="E181" s="28">
        <f>(IF(MOD((155/80*(C6+C7)),(C6+C7))&lt;C6,(C4*C8),(C5*C8)+((C4*C8)-(C5*C8))*EXP(-(MOD((155/80*(C6+C7)),(C6+C7))-C6)/(C9*C8))))*1000</f>
        <v/>
      </c>
      <c r="F181" s="27">
        <f>IF(AND(MOD((155/80*(C6+C7)),(C6+C7))&lt;C6,MOD((155/80*(C6+C7)),(C6+C7))&lt;C12),-ABS(C11)*SIN(PI()*MOD((155/80*(C6+C7)),(C6+C7))/C12),0)</f>
        <v/>
      </c>
      <c r="G181" s="27">
        <f>C5*(C10/(C8+C10))+(E181/1000)/C10+F181</f>
        <v/>
      </c>
      <c r="H181" s="27">
        <f>C181-G181</f>
        <v/>
      </c>
      <c r="I181" s="27">
        <f>C5+(E181/1000)/C8</f>
        <v/>
      </c>
    </row>
    <row r="182" ht="12.95" customHeight="1" s="44">
      <c r="B182" s="25">
        <f>(156/80*(C6+C7))</f>
        <v/>
      </c>
      <c r="C182" s="25">
        <f>IF(MOD((156/80*(C6+C7)),(C6+C7))&lt;C6,C4,C5)</f>
        <v/>
      </c>
      <c r="D182" s="25">
        <f>IF(MOD((156/80*(C6+C7)),(C6+C7))&lt;C6,0,-((C4*C8)-(C5*C8))/(C9*C8)*EXP(-(MOD((156/80*(C6+C7)),(C6+C7))-C6)/(C9*C8))*60)</f>
        <v/>
      </c>
      <c r="E182" s="26">
        <f>(IF(MOD((156/80*(C6+C7)),(C6+C7))&lt;C6,(C4*C8),(C5*C8)+((C4*C8)-(C5*C8))*EXP(-(MOD((156/80*(C6+C7)),(C6+C7))-C6)/(C9*C8))))*1000</f>
        <v/>
      </c>
      <c r="F182" s="25">
        <f>IF(AND(MOD((156/80*(C6+C7)),(C6+C7))&lt;C6,MOD((156/80*(C6+C7)),(C6+C7))&lt;C12),-ABS(C11)*SIN(PI()*MOD((156/80*(C6+C7)),(C6+C7))/C12),0)</f>
        <v/>
      </c>
      <c r="G182" s="25">
        <f>C5*(C10/(C8+C10))+(E182/1000)/C10+F182</f>
        <v/>
      </c>
      <c r="H182" s="25">
        <f>C182-G182</f>
        <v/>
      </c>
      <c r="I182" s="25">
        <f>C5+(E182/1000)/C8</f>
        <v/>
      </c>
    </row>
    <row r="183" ht="12.95" customHeight="1" s="44">
      <c r="B183" s="27">
        <f>(157/80*(C6+C7))</f>
        <v/>
      </c>
      <c r="C183" s="27">
        <f>IF(MOD((157/80*(C6+C7)),(C6+C7))&lt;C6,C4,C5)</f>
        <v/>
      </c>
      <c r="D183" s="27">
        <f>IF(MOD((157/80*(C6+C7)),(C6+C7))&lt;C6,0,-((C4*C8)-(C5*C8))/(C9*C8)*EXP(-(MOD((157/80*(C6+C7)),(C6+C7))-C6)/(C9*C8))*60)</f>
        <v/>
      </c>
      <c r="E183" s="28">
        <f>(IF(MOD((157/80*(C6+C7)),(C6+C7))&lt;C6,(C4*C8),(C5*C8)+((C4*C8)-(C5*C8))*EXP(-(MOD((157/80*(C6+C7)),(C6+C7))-C6)/(C9*C8))))*1000</f>
        <v/>
      </c>
      <c r="F183" s="27">
        <f>IF(AND(MOD((157/80*(C6+C7)),(C6+C7))&lt;C6,MOD((157/80*(C6+C7)),(C6+C7))&lt;C12),-ABS(C11)*SIN(PI()*MOD((157/80*(C6+C7)),(C6+C7))/C12),0)</f>
        <v/>
      </c>
      <c r="G183" s="27">
        <f>C5*(C10/(C8+C10))+(E183/1000)/C10+F183</f>
        <v/>
      </c>
      <c r="H183" s="27">
        <f>C183-G183</f>
        <v/>
      </c>
      <c r="I183" s="27">
        <f>C5+(E183/1000)/C8</f>
        <v/>
      </c>
    </row>
    <row r="184" ht="12.95" customHeight="1" s="44">
      <c r="B184" s="25">
        <f>(158/80*(C6+C7))</f>
        <v/>
      </c>
      <c r="C184" s="25">
        <f>IF(MOD((158/80*(C6+C7)),(C6+C7))&lt;C6,C4,C5)</f>
        <v/>
      </c>
      <c r="D184" s="25">
        <f>IF(MOD((158/80*(C6+C7)),(C6+C7))&lt;C6,0,-((C4*C8)-(C5*C8))/(C9*C8)*EXP(-(MOD((158/80*(C6+C7)),(C6+C7))-C6)/(C9*C8))*60)</f>
        <v/>
      </c>
      <c r="E184" s="26">
        <f>(IF(MOD((158/80*(C6+C7)),(C6+C7))&lt;C6,(C4*C8),(C5*C8)+((C4*C8)-(C5*C8))*EXP(-(MOD((158/80*(C6+C7)),(C6+C7))-C6)/(C9*C8))))*1000</f>
        <v/>
      </c>
      <c r="F184" s="25">
        <f>IF(AND(MOD((158/80*(C6+C7)),(C6+C7))&lt;C6,MOD((158/80*(C6+C7)),(C6+C7))&lt;C12),-ABS(C11)*SIN(PI()*MOD((158/80*(C6+C7)),(C6+C7))/C12),0)</f>
        <v/>
      </c>
      <c r="G184" s="25">
        <f>C5*(C10/(C8+C10))+(E184/1000)/C10+F184</f>
        <v/>
      </c>
      <c r="H184" s="25">
        <f>C184-G184</f>
        <v/>
      </c>
      <c r="I184" s="25">
        <f>C5+(E184/1000)/C8</f>
        <v/>
      </c>
    </row>
    <row r="185" ht="12.95" customHeight="1" s="44">
      <c r="B185" s="27">
        <f>(159/80*(C6+C7))</f>
        <v/>
      </c>
      <c r="C185" s="27">
        <f>IF(MOD((159/80*(C6+C7)),(C6+C7))&lt;C6,C4,C5)</f>
        <v/>
      </c>
      <c r="D185" s="27">
        <f>IF(MOD((159/80*(C6+C7)),(C6+C7))&lt;C6,0,-((C4*C8)-(C5*C8))/(C9*C8)*EXP(-(MOD((159/80*(C6+C7)),(C6+C7))-C6)/(C9*C8))*60)</f>
        <v/>
      </c>
      <c r="E185" s="28">
        <f>(IF(MOD((159/80*(C6+C7)),(C6+C7))&lt;C6,(C4*C8),(C5*C8)+((C4*C8)-(C5*C8))*EXP(-(MOD((159/80*(C6+C7)),(C6+C7))-C6)/(C9*C8))))*1000</f>
        <v/>
      </c>
      <c r="F185" s="27">
        <f>IF(AND(MOD((159/80*(C6+C7)),(C6+C7))&lt;C6,MOD((159/80*(C6+C7)),(C6+C7))&lt;C12),-ABS(C11)*SIN(PI()*MOD((159/80*(C6+C7)),(C6+C7))/C12),0)</f>
        <v/>
      </c>
      <c r="G185" s="27">
        <f>C5*(C10/(C8+C10))+(E185/1000)/C10+F185</f>
        <v/>
      </c>
      <c r="H185" s="27">
        <f>C185-G185</f>
        <v/>
      </c>
      <c r="I185" s="27">
        <f>C5+(E185/1000)/C8</f>
        <v/>
      </c>
    </row>
    <row r="186" ht="12.95" customHeight="1" s="44">
      <c r="B186" s="25">
        <f>(160/80*(C6+C7))</f>
        <v/>
      </c>
      <c r="C186" s="25">
        <f>IF(MOD((160/80*(C6+C7)),(C6+C7))&lt;C6,C4,C5)</f>
        <v/>
      </c>
      <c r="D186" s="25">
        <f>IF(MOD((160/80*(C6+C7)),(C6+C7))&lt;C6,0,-((C4*C8)-(C5*C8))/(C9*C8)*EXP(-(MOD((160/80*(C6+C7)),(C6+C7))-C6)/(C9*C8))*60)</f>
        <v/>
      </c>
      <c r="E186" s="26">
        <f>(IF(MOD((160/80*(C6+C7)),(C6+C7))&lt;C6,(C4*C8),(C5*C8)+((C4*C8)-(C5*C8))*EXP(-(MOD((160/80*(C6+C7)),(C6+C7))-C6)/(C9*C8))))*1000</f>
        <v/>
      </c>
      <c r="F186" s="25">
        <f>IF(AND(MOD((160/80*(C6+C7)),(C6+C7))&lt;C6,MOD((160/80*(C6+C7)),(C6+C7))&lt;C12),-ABS(C11)*SIN(PI()*MOD((160/80*(C6+C7)),(C6+C7))/C12),0)</f>
        <v/>
      </c>
      <c r="G186" s="25">
        <f>C5*(C10/(C8+C10))+(E186/1000)/C10+F186</f>
        <v/>
      </c>
      <c r="H186" s="25">
        <f>C186-G186</f>
        <v/>
      </c>
      <c r="I186" s="25">
        <f>C5+(E186/1000)/C8</f>
        <v/>
      </c>
    </row>
    <row r="187" ht="12.95" customHeight="1" s="44">
      <c r="B187" s="27">
        <f>(161/80*(C6+C7))</f>
        <v/>
      </c>
      <c r="C187" s="27">
        <f>IF(MOD((161/80*(C6+C7)),(C6+C7))&lt;C6,C4,C5)</f>
        <v/>
      </c>
      <c r="D187" s="27">
        <f>IF(MOD((161/80*(C6+C7)),(C6+C7))&lt;C6,0,-((C4*C8)-(C5*C8))/(C9*C8)*EXP(-(MOD((161/80*(C6+C7)),(C6+C7))-C6)/(C9*C8))*60)</f>
        <v/>
      </c>
      <c r="E187" s="28">
        <f>(IF(MOD((161/80*(C6+C7)),(C6+C7))&lt;C6,(C4*C8),(C5*C8)+((C4*C8)-(C5*C8))*EXP(-(MOD((161/80*(C6+C7)),(C6+C7))-C6)/(C9*C8))))*1000</f>
        <v/>
      </c>
      <c r="F187" s="27">
        <f>IF(AND(MOD((161/80*(C6+C7)),(C6+C7))&lt;C6,MOD((161/80*(C6+C7)),(C6+C7))&lt;C12),-ABS(C11)*SIN(PI()*MOD((161/80*(C6+C7)),(C6+C7))/C12),0)</f>
        <v/>
      </c>
      <c r="G187" s="27">
        <f>C5*(C10/(C8+C10))+(E187/1000)/C10+F187</f>
        <v/>
      </c>
      <c r="H187" s="27">
        <f>C187-G187</f>
        <v/>
      </c>
      <c r="I187" s="27">
        <f>C5+(E187/1000)/C8</f>
        <v/>
      </c>
    </row>
    <row r="188" ht="12.95" customHeight="1" s="44">
      <c r="B188" s="25">
        <f>(162/80*(C6+C7))</f>
        <v/>
      </c>
      <c r="C188" s="25">
        <f>IF(MOD((162/80*(C6+C7)),(C6+C7))&lt;C6,C4,C5)</f>
        <v/>
      </c>
      <c r="D188" s="25">
        <f>IF(MOD((162/80*(C6+C7)),(C6+C7))&lt;C6,0,-((C4*C8)-(C5*C8))/(C9*C8)*EXP(-(MOD((162/80*(C6+C7)),(C6+C7))-C6)/(C9*C8))*60)</f>
        <v/>
      </c>
      <c r="E188" s="26">
        <f>(IF(MOD((162/80*(C6+C7)),(C6+C7))&lt;C6,(C4*C8),(C5*C8)+((C4*C8)-(C5*C8))*EXP(-(MOD((162/80*(C6+C7)),(C6+C7))-C6)/(C9*C8))))*1000</f>
        <v/>
      </c>
      <c r="F188" s="25">
        <f>IF(AND(MOD((162/80*(C6+C7)),(C6+C7))&lt;C6,MOD((162/80*(C6+C7)),(C6+C7))&lt;C12),-ABS(C11)*SIN(PI()*MOD((162/80*(C6+C7)),(C6+C7))/C12),0)</f>
        <v/>
      </c>
      <c r="G188" s="25">
        <f>C5*(C10/(C8+C10))+(E188/1000)/C10+F188</f>
        <v/>
      </c>
      <c r="H188" s="25">
        <f>C188-G188</f>
        <v/>
      </c>
      <c r="I188" s="25">
        <f>C5+(E188/1000)/C8</f>
        <v/>
      </c>
    </row>
    <row r="189" ht="12.95" customHeight="1" s="44">
      <c r="B189" s="27">
        <f>(163/80*(C6+C7))</f>
        <v/>
      </c>
      <c r="C189" s="27">
        <f>IF(MOD((163/80*(C6+C7)),(C6+C7))&lt;C6,C4,C5)</f>
        <v/>
      </c>
      <c r="D189" s="27">
        <f>IF(MOD((163/80*(C6+C7)),(C6+C7))&lt;C6,0,-((C4*C8)-(C5*C8))/(C9*C8)*EXP(-(MOD((163/80*(C6+C7)),(C6+C7))-C6)/(C9*C8))*60)</f>
        <v/>
      </c>
      <c r="E189" s="28">
        <f>(IF(MOD((163/80*(C6+C7)),(C6+C7))&lt;C6,(C4*C8),(C5*C8)+((C4*C8)-(C5*C8))*EXP(-(MOD((163/80*(C6+C7)),(C6+C7))-C6)/(C9*C8))))*1000</f>
        <v/>
      </c>
      <c r="F189" s="27">
        <f>IF(AND(MOD((163/80*(C6+C7)),(C6+C7))&lt;C6,MOD((163/80*(C6+C7)),(C6+C7))&lt;C12),-ABS(C11)*SIN(PI()*MOD((163/80*(C6+C7)),(C6+C7))/C12),0)</f>
        <v/>
      </c>
      <c r="G189" s="27">
        <f>C5*(C10/(C8+C10))+(E189/1000)/C10+F189</f>
        <v/>
      </c>
      <c r="H189" s="27">
        <f>C189-G189</f>
        <v/>
      </c>
      <c r="I189" s="27">
        <f>C5+(E189/1000)/C8</f>
        <v/>
      </c>
    </row>
    <row r="190" ht="12.95" customHeight="1" s="44">
      <c r="B190" s="25">
        <f>(164/80*(C6+C7))</f>
        <v/>
      </c>
      <c r="C190" s="25">
        <f>IF(MOD((164/80*(C6+C7)),(C6+C7))&lt;C6,C4,C5)</f>
        <v/>
      </c>
      <c r="D190" s="25">
        <f>IF(MOD((164/80*(C6+C7)),(C6+C7))&lt;C6,0,-((C4*C8)-(C5*C8))/(C9*C8)*EXP(-(MOD((164/80*(C6+C7)),(C6+C7))-C6)/(C9*C8))*60)</f>
        <v/>
      </c>
      <c r="E190" s="26">
        <f>(IF(MOD((164/80*(C6+C7)),(C6+C7))&lt;C6,(C4*C8),(C5*C8)+((C4*C8)-(C5*C8))*EXP(-(MOD((164/80*(C6+C7)),(C6+C7))-C6)/(C9*C8))))*1000</f>
        <v/>
      </c>
      <c r="F190" s="25">
        <f>IF(AND(MOD((164/80*(C6+C7)),(C6+C7))&lt;C6,MOD((164/80*(C6+C7)),(C6+C7))&lt;C12),-ABS(C11)*SIN(PI()*MOD((164/80*(C6+C7)),(C6+C7))/C12),0)</f>
        <v/>
      </c>
      <c r="G190" s="25">
        <f>C5*(C10/(C8+C10))+(E190/1000)/C10+F190</f>
        <v/>
      </c>
      <c r="H190" s="25">
        <f>C190-G190</f>
        <v/>
      </c>
      <c r="I190" s="25">
        <f>C5+(E190/1000)/C8</f>
        <v/>
      </c>
    </row>
    <row r="191" ht="12.95" customHeight="1" s="44">
      <c r="B191" s="27">
        <f>(165/80*(C6+C7))</f>
        <v/>
      </c>
      <c r="C191" s="27">
        <f>IF(MOD((165/80*(C6+C7)),(C6+C7))&lt;C6,C4,C5)</f>
        <v/>
      </c>
      <c r="D191" s="27">
        <f>IF(MOD((165/80*(C6+C7)),(C6+C7))&lt;C6,0,-((C4*C8)-(C5*C8))/(C9*C8)*EXP(-(MOD((165/80*(C6+C7)),(C6+C7))-C6)/(C9*C8))*60)</f>
        <v/>
      </c>
      <c r="E191" s="28">
        <f>(IF(MOD((165/80*(C6+C7)),(C6+C7))&lt;C6,(C4*C8),(C5*C8)+((C4*C8)-(C5*C8))*EXP(-(MOD((165/80*(C6+C7)),(C6+C7))-C6)/(C9*C8))))*1000</f>
        <v/>
      </c>
      <c r="F191" s="27">
        <f>IF(AND(MOD((165/80*(C6+C7)),(C6+C7))&lt;C6,MOD((165/80*(C6+C7)),(C6+C7))&lt;C12),-ABS(C11)*SIN(PI()*MOD((165/80*(C6+C7)),(C6+C7))/C12),0)</f>
        <v/>
      </c>
      <c r="G191" s="27">
        <f>C5*(C10/(C8+C10))+(E191/1000)/C10+F191</f>
        <v/>
      </c>
      <c r="H191" s="27">
        <f>C191-G191</f>
        <v/>
      </c>
      <c r="I191" s="27">
        <f>C5+(E191/1000)/C8</f>
        <v/>
      </c>
    </row>
    <row r="192" ht="12.95" customHeight="1" s="44">
      <c r="B192" s="25">
        <f>(166/80*(C6+C7))</f>
        <v/>
      </c>
      <c r="C192" s="25">
        <f>IF(MOD((166/80*(C6+C7)),(C6+C7))&lt;C6,C4,C5)</f>
        <v/>
      </c>
      <c r="D192" s="25">
        <f>IF(MOD((166/80*(C6+C7)),(C6+C7))&lt;C6,0,-((C4*C8)-(C5*C8))/(C9*C8)*EXP(-(MOD((166/80*(C6+C7)),(C6+C7))-C6)/(C9*C8))*60)</f>
        <v/>
      </c>
      <c r="E192" s="26">
        <f>(IF(MOD((166/80*(C6+C7)),(C6+C7))&lt;C6,(C4*C8),(C5*C8)+((C4*C8)-(C5*C8))*EXP(-(MOD((166/80*(C6+C7)),(C6+C7))-C6)/(C9*C8))))*1000</f>
        <v/>
      </c>
      <c r="F192" s="25">
        <f>IF(AND(MOD((166/80*(C6+C7)),(C6+C7))&lt;C6,MOD((166/80*(C6+C7)),(C6+C7))&lt;C12),-ABS(C11)*SIN(PI()*MOD((166/80*(C6+C7)),(C6+C7))/C12),0)</f>
        <v/>
      </c>
      <c r="G192" s="25">
        <f>C5*(C10/(C8+C10))+(E192/1000)/C10+F192</f>
        <v/>
      </c>
      <c r="H192" s="25">
        <f>C192-G192</f>
        <v/>
      </c>
      <c r="I192" s="25">
        <f>C5+(E192/1000)/C8</f>
        <v/>
      </c>
    </row>
    <row r="193" ht="12.95" customHeight="1" s="44">
      <c r="B193" s="27">
        <f>(167/80*(C6+C7))</f>
        <v/>
      </c>
      <c r="C193" s="27">
        <f>IF(MOD((167/80*(C6+C7)),(C6+C7))&lt;C6,C4,C5)</f>
        <v/>
      </c>
      <c r="D193" s="27">
        <f>IF(MOD((167/80*(C6+C7)),(C6+C7))&lt;C6,0,-((C4*C8)-(C5*C8))/(C9*C8)*EXP(-(MOD((167/80*(C6+C7)),(C6+C7))-C6)/(C9*C8))*60)</f>
        <v/>
      </c>
      <c r="E193" s="28">
        <f>(IF(MOD((167/80*(C6+C7)),(C6+C7))&lt;C6,(C4*C8),(C5*C8)+((C4*C8)-(C5*C8))*EXP(-(MOD((167/80*(C6+C7)),(C6+C7))-C6)/(C9*C8))))*1000</f>
        <v/>
      </c>
      <c r="F193" s="27">
        <f>IF(AND(MOD((167/80*(C6+C7)),(C6+C7))&lt;C6,MOD((167/80*(C6+C7)),(C6+C7))&lt;C12),-ABS(C11)*SIN(PI()*MOD((167/80*(C6+C7)),(C6+C7))/C12),0)</f>
        <v/>
      </c>
      <c r="G193" s="27">
        <f>C5*(C10/(C8+C10))+(E193/1000)/C10+F193</f>
        <v/>
      </c>
      <c r="H193" s="27">
        <f>C193-G193</f>
        <v/>
      </c>
      <c r="I193" s="27">
        <f>C5+(E193/1000)/C8</f>
        <v/>
      </c>
    </row>
    <row r="194" ht="12.95" customHeight="1" s="44">
      <c r="B194" s="25">
        <f>(168/80*(C6+C7))</f>
        <v/>
      </c>
      <c r="C194" s="25">
        <f>IF(MOD((168/80*(C6+C7)),(C6+C7))&lt;C6,C4,C5)</f>
        <v/>
      </c>
      <c r="D194" s="25">
        <f>IF(MOD((168/80*(C6+C7)),(C6+C7))&lt;C6,0,-((C4*C8)-(C5*C8))/(C9*C8)*EXP(-(MOD((168/80*(C6+C7)),(C6+C7))-C6)/(C9*C8))*60)</f>
        <v/>
      </c>
      <c r="E194" s="26">
        <f>(IF(MOD((168/80*(C6+C7)),(C6+C7))&lt;C6,(C4*C8),(C5*C8)+((C4*C8)-(C5*C8))*EXP(-(MOD((168/80*(C6+C7)),(C6+C7))-C6)/(C9*C8))))*1000</f>
        <v/>
      </c>
      <c r="F194" s="25">
        <f>IF(AND(MOD((168/80*(C6+C7)),(C6+C7))&lt;C6,MOD((168/80*(C6+C7)),(C6+C7))&lt;C12),-ABS(C11)*SIN(PI()*MOD((168/80*(C6+C7)),(C6+C7))/C12),0)</f>
        <v/>
      </c>
      <c r="G194" s="25">
        <f>C5*(C10/(C8+C10))+(E194/1000)/C10+F194</f>
        <v/>
      </c>
      <c r="H194" s="25">
        <f>C194-G194</f>
        <v/>
      </c>
      <c r="I194" s="25">
        <f>C5+(E194/1000)/C8</f>
        <v/>
      </c>
    </row>
    <row r="195" ht="12.95" customHeight="1" s="44">
      <c r="B195" s="27">
        <f>(169/80*(C6+C7))</f>
        <v/>
      </c>
      <c r="C195" s="27">
        <f>IF(MOD((169/80*(C6+C7)),(C6+C7))&lt;C6,C4,C5)</f>
        <v/>
      </c>
      <c r="D195" s="27">
        <f>IF(MOD((169/80*(C6+C7)),(C6+C7))&lt;C6,0,-((C4*C8)-(C5*C8))/(C9*C8)*EXP(-(MOD((169/80*(C6+C7)),(C6+C7))-C6)/(C9*C8))*60)</f>
        <v/>
      </c>
      <c r="E195" s="28">
        <f>(IF(MOD((169/80*(C6+C7)),(C6+C7))&lt;C6,(C4*C8),(C5*C8)+((C4*C8)-(C5*C8))*EXP(-(MOD((169/80*(C6+C7)),(C6+C7))-C6)/(C9*C8))))*1000</f>
        <v/>
      </c>
      <c r="F195" s="27">
        <f>IF(AND(MOD((169/80*(C6+C7)),(C6+C7))&lt;C6,MOD((169/80*(C6+C7)),(C6+C7))&lt;C12),-ABS(C11)*SIN(PI()*MOD((169/80*(C6+C7)),(C6+C7))/C12),0)</f>
        <v/>
      </c>
      <c r="G195" s="27">
        <f>C5*(C10/(C8+C10))+(E195/1000)/C10+F195</f>
        <v/>
      </c>
      <c r="H195" s="27">
        <f>C195-G195</f>
        <v/>
      </c>
      <c r="I195" s="27">
        <f>C5+(E195/1000)/C8</f>
        <v/>
      </c>
    </row>
    <row r="196" ht="12.95" customHeight="1" s="44">
      <c r="B196" s="25">
        <f>(170/80*(C6+C7))</f>
        <v/>
      </c>
      <c r="C196" s="25">
        <f>IF(MOD((170/80*(C6+C7)),(C6+C7))&lt;C6,C4,C5)</f>
        <v/>
      </c>
      <c r="D196" s="25">
        <f>IF(MOD((170/80*(C6+C7)),(C6+C7))&lt;C6,0,-((C4*C8)-(C5*C8))/(C9*C8)*EXP(-(MOD((170/80*(C6+C7)),(C6+C7))-C6)/(C9*C8))*60)</f>
        <v/>
      </c>
      <c r="E196" s="26">
        <f>(IF(MOD((170/80*(C6+C7)),(C6+C7))&lt;C6,(C4*C8),(C5*C8)+((C4*C8)-(C5*C8))*EXP(-(MOD((170/80*(C6+C7)),(C6+C7))-C6)/(C9*C8))))*1000</f>
        <v/>
      </c>
      <c r="F196" s="25">
        <f>IF(AND(MOD((170/80*(C6+C7)),(C6+C7))&lt;C6,MOD((170/80*(C6+C7)),(C6+C7))&lt;C12),-ABS(C11)*SIN(PI()*MOD((170/80*(C6+C7)),(C6+C7))/C12),0)</f>
        <v/>
      </c>
      <c r="G196" s="25">
        <f>C5*(C10/(C8+C10))+(E196/1000)/C10+F196</f>
        <v/>
      </c>
      <c r="H196" s="25">
        <f>C196-G196</f>
        <v/>
      </c>
      <c r="I196" s="25">
        <f>C5+(E196/1000)/C8</f>
        <v/>
      </c>
    </row>
    <row r="197" ht="12.95" customHeight="1" s="44">
      <c r="B197" s="27">
        <f>(171/80*(C6+C7))</f>
        <v/>
      </c>
      <c r="C197" s="27">
        <f>IF(MOD((171/80*(C6+C7)),(C6+C7))&lt;C6,C4,C5)</f>
        <v/>
      </c>
      <c r="D197" s="27">
        <f>IF(MOD((171/80*(C6+C7)),(C6+C7))&lt;C6,0,-((C4*C8)-(C5*C8))/(C9*C8)*EXP(-(MOD((171/80*(C6+C7)),(C6+C7))-C6)/(C9*C8))*60)</f>
        <v/>
      </c>
      <c r="E197" s="28">
        <f>(IF(MOD((171/80*(C6+C7)),(C6+C7))&lt;C6,(C4*C8),(C5*C8)+((C4*C8)-(C5*C8))*EXP(-(MOD((171/80*(C6+C7)),(C6+C7))-C6)/(C9*C8))))*1000</f>
        <v/>
      </c>
      <c r="F197" s="27">
        <f>IF(AND(MOD((171/80*(C6+C7)),(C6+C7))&lt;C6,MOD((171/80*(C6+C7)),(C6+C7))&lt;C12),-ABS(C11)*SIN(PI()*MOD((171/80*(C6+C7)),(C6+C7))/C12),0)</f>
        <v/>
      </c>
      <c r="G197" s="27">
        <f>C5*(C10/(C8+C10))+(E197/1000)/C10+F197</f>
        <v/>
      </c>
      <c r="H197" s="27">
        <f>C197-G197</f>
        <v/>
      </c>
      <c r="I197" s="27">
        <f>C5+(E197/1000)/C8</f>
        <v/>
      </c>
    </row>
    <row r="198" ht="12.95" customHeight="1" s="44">
      <c r="B198" s="25">
        <f>(172/80*(C6+C7))</f>
        <v/>
      </c>
      <c r="C198" s="25">
        <f>IF(MOD((172/80*(C6+C7)),(C6+C7))&lt;C6,C4,C5)</f>
        <v/>
      </c>
      <c r="D198" s="25">
        <f>IF(MOD((172/80*(C6+C7)),(C6+C7))&lt;C6,0,-((C4*C8)-(C5*C8))/(C9*C8)*EXP(-(MOD((172/80*(C6+C7)),(C6+C7))-C6)/(C9*C8))*60)</f>
        <v/>
      </c>
      <c r="E198" s="26">
        <f>(IF(MOD((172/80*(C6+C7)),(C6+C7))&lt;C6,(C4*C8),(C5*C8)+((C4*C8)-(C5*C8))*EXP(-(MOD((172/80*(C6+C7)),(C6+C7))-C6)/(C9*C8))))*1000</f>
        <v/>
      </c>
      <c r="F198" s="25">
        <f>IF(AND(MOD((172/80*(C6+C7)),(C6+C7))&lt;C6,MOD((172/80*(C6+C7)),(C6+C7))&lt;C12),-ABS(C11)*SIN(PI()*MOD((172/80*(C6+C7)),(C6+C7))/C12),0)</f>
        <v/>
      </c>
      <c r="G198" s="25">
        <f>C5*(C10/(C8+C10))+(E198/1000)/C10+F198</f>
        <v/>
      </c>
      <c r="H198" s="25">
        <f>C198-G198</f>
        <v/>
      </c>
      <c r="I198" s="25">
        <f>C5+(E198/1000)/C8</f>
        <v/>
      </c>
    </row>
    <row r="199" ht="12.95" customHeight="1" s="44">
      <c r="B199" s="27">
        <f>(173/80*(C6+C7))</f>
        <v/>
      </c>
      <c r="C199" s="27">
        <f>IF(MOD((173/80*(C6+C7)),(C6+C7))&lt;C6,C4,C5)</f>
        <v/>
      </c>
      <c r="D199" s="27">
        <f>IF(MOD((173/80*(C6+C7)),(C6+C7))&lt;C6,0,-((C4*C8)-(C5*C8))/(C9*C8)*EXP(-(MOD((173/80*(C6+C7)),(C6+C7))-C6)/(C9*C8))*60)</f>
        <v/>
      </c>
      <c r="E199" s="28">
        <f>(IF(MOD((173/80*(C6+C7)),(C6+C7))&lt;C6,(C4*C8),(C5*C8)+((C4*C8)-(C5*C8))*EXP(-(MOD((173/80*(C6+C7)),(C6+C7))-C6)/(C9*C8))))*1000</f>
        <v/>
      </c>
      <c r="F199" s="27">
        <f>IF(AND(MOD((173/80*(C6+C7)),(C6+C7))&lt;C6,MOD((173/80*(C6+C7)),(C6+C7))&lt;C12),-ABS(C11)*SIN(PI()*MOD((173/80*(C6+C7)),(C6+C7))/C12),0)</f>
        <v/>
      </c>
      <c r="G199" s="27">
        <f>C5*(C10/(C8+C10))+(E199/1000)/C10+F199</f>
        <v/>
      </c>
      <c r="H199" s="27">
        <f>C199-G199</f>
        <v/>
      </c>
      <c r="I199" s="27">
        <f>C5+(E199/1000)/C8</f>
        <v/>
      </c>
    </row>
    <row r="200" ht="12.95" customHeight="1" s="44">
      <c r="B200" s="25">
        <f>(174/80*(C6+C7))</f>
        <v/>
      </c>
      <c r="C200" s="25">
        <f>IF(MOD((174/80*(C6+C7)),(C6+C7))&lt;C6,C4,C5)</f>
        <v/>
      </c>
      <c r="D200" s="25">
        <f>IF(MOD((174/80*(C6+C7)),(C6+C7))&lt;C6,0,-((C4*C8)-(C5*C8))/(C9*C8)*EXP(-(MOD((174/80*(C6+C7)),(C6+C7))-C6)/(C9*C8))*60)</f>
        <v/>
      </c>
      <c r="E200" s="26">
        <f>(IF(MOD((174/80*(C6+C7)),(C6+C7))&lt;C6,(C4*C8),(C5*C8)+((C4*C8)-(C5*C8))*EXP(-(MOD((174/80*(C6+C7)),(C6+C7))-C6)/(C9*C8))))*1000</f>
        <v/>
      </c>
      <c r="F200" s="25">
        <f>IF(AND(MOD((174/80*(C6+C7)),(C6+C7))&lt;C6,MOD((174/80*(C6+C7)),(C6+C7))&lt;C12),-ABS(C11)*SIN(PI()*MOD((174/80*(C6+C7)),(C6+C7))/C12),0)</f>
        <v/>
      </c>
      <c r="G200" s="25">
        <f>C5*(C10/(C8+C10))+(E200/1000)/C10+F200</f>
        <v/>
      </c>
      <c r="H200" s="25">
        <f>C200-G200</f>
        <v/>
      </c>
      <c r="I200" s="25">
        <f>C5+(E200/1000)/C8</f>
        <v/>
      </c>
    </row>
    <row r="201" ht="12.95" customHeight="1" s="44">
      <c r="B201" s="27">
        <f>(175/80*(C6+C7))</f>
        <v/>
      </c>
      <c r="C201" s="27">
        <f>IF(MOD((175/80*(C6+C7)),(C6+C7))&lt;C6,C4,C5)</f>
        <v/>
      </c>
      <c r="D201" s="27">
        <f>IF(MOD((175/80*(C6+C7)),(C6+C7))&lt;C6,0,-((C4*C8)-(C5*C8))/(C9*C8)*EXP(-(MOD((175/80*(C6+C7)),(C6+C7))-C6)/(C9*C8))*60)</f>
        <v/>
      </c>
      <c r="E201" s="28">
        <f>(IF(MOD((175/80*(C6+C7)),(C6+C7))&lt;C6,(C4*C8),(C5*C8)+((C4*C8)-(C5*C8))*EXP(-(MOD((175/80*(C6+C7)),(C6+C7))-C6)/(C9*C8))))*1000</f>
        <v/>
      </c>
      <c r="F201" s="27">
        <f>IF(AND(MOD((175/80*(C6+C7)),(C6+C7))&lt;C6,MOD((175/80*(C6+C7)),(C6+C7))&lt;C12),-ABS(C11)*SIN(PI()*MOD((175/80*(C6+C7)),(C6+C7))/C12),0)</f>
        <v/>
      </c>
      <c r="G201" s="27">
        <f>C5*(C10/(C8+C10))+(E201/1000)/C10+F201</f>
        <v/>
      </c>
      <c r="H201" s="27">
        <f>C201-G201</f>
        <v/>
      </c>
      <c r="I201" s="27">
        <f>C5+(E201/1000)/C8</f>
        <v/>
      </c>
    </row>
    <row r="202" ht="12.95" customHeight="1" s="44">
      <c r="B202" s="25">
        <f>(176/80*(C6+C7))</f>
        <v/>
      </c>
      <c r="C202" s="25">
        <f>IF(MOD((176/80*(C6+C7)),(C6+C7))&lt;C6,C4,C5)</f>
        <v/>
      </c>
      <c r="D202" s="25">
        <f>IF(MOD((176/80*(C6+C7)),(C6+C7))&lt;C6,0,-((C4*C8)-(C5*C8))/(C9*C8)*EXP(-(MOD((176/80*(C6+C7)),(C6+C7))-C6)/(C9*C8))*60)</f>
        <v/>
      </c>
      <c r="E202" s="26">
        <f>(IF(MOD((176/80*(C6+C7)),(C6+C7))&lt;C6,(C4*C8),(C5*C8)+((C4*C8)-(C5*C8))*EXP(-(MOD((176/80*(C6+C7)),(C6+C7))-C6)/(C9*C8))))*1000</f>
        <v/>
      </c>
      <c r="F202" s="25">
        <f>IF(AND(MOD((176/80*(C6+C7)),(C6+C7))&lt;C6,MOD((176/80*(C6+C7)),(C6+C7))&lt;C12),-ABS(C11)*SIN(PI()*MOD((176/80*(C6+C7)),(C6+C7))/C12),0)</f>
        <v/>
      </c>
      <c r="G202" s="25">
        <f>C5*(C10/(C8+C10))+(E202/1000)/C10+F202</f>
        <v/>
      </c>
      <c r="H202" s="25">
        <f>C202-G202</f>
        <v/>
      </c>
      <c r="I202" s="25">
        <f>C5+(E202/1000)/C8</f>
        <v/>
      </c>
    </row>
    <row r="203" ht="12.95" customHeight="1" s="44">
      <c r="B203" s="27">
        <f>(177/80*(C6+C7))</f>
        <v/>
      </c>
      <c r="C203" s="27">
        <f>IF(MOD((177/80*(C6+C7)),(C6+C7))&lt;C6,C4,C5)</f>
        <v/>
      </c>
      <c r="D203" s="27">
        <f>IF(MOD((177/80*(C6+C7)),(C6+C7))&lt;C6,0,-((C4*C8)-(C5*C8))/(C9*C8)*EXP(-(MOD((177/80*(C6+C7)),(C6+C7))-C6)/(C9*C8))*60)</f>
        <v/>
      </c>
      <c r="E203" s="28">
        <f>(IF(MOD((177/80*(C6+C7)),(C6+C7))&lt;C6,(C4*C8),(C5*C8)+((C4*C8)-(C5*C8))*EXP(-(MOD((177/80*(C6+C7)),(C6+C7))-C6)/(C9*C8))))*1000</f>
        <v/>
      </c>
      <c r="F203" s="27">
        <f>IF(AND(MOD((177/80*(C6+C7)),(C6+C7))&lt;C6,MOD((177/80*(C6+C7)),(C6+C7))&lt;C12),-ABS(C11)*SIN(PI()*MOD((177/80*(C6+C7)),(C6+C7))/C12),0)</f>
        <v/>
      </c>
      <c r="G203" s="27">
        <f>C5*(C10/(C8+C10))+(E203/1000)/C10+F203</f>
        <v/>
      </c>
      <c r="H203" s="27">
        <f>C203-G203</f>
        <v/>
      </c>
      <c r="I203" s="27">
        <f>C5+(E203/1000)/C8</f>
        <v/>
      </c>
    </row>
    <row r="204" ht="12.95" customHeight="1" s="44">
      <c r="B204" s="25">
        <f>(178/80*(C6+C7))</f>
        <v/>
      </c>
      <c r="C204" s="25">
        <f>IF(MOD((178/80*(C6+C7)),(C6+C7))&lt;C6,C4,C5)</f>
        <v/>
      </c>
      <c r="D204" s="25">
        <f>IF(MOD((178/80*(C6+C7)),(C6+C7))&lt;C6,0,-((C4*C8)-(C5*C8))/(C9*C8)*EXP(-(MOD((178/80*(C6+C7)),(C6+C7))-C6)/(C9*C8))*60)</f>
        <v/>
      </c>
      <c r="E204" s="26">
        <f>(IF(MOD((178/80*(C6+C7)),(C6+C7))&lt;C6,(C4*C8),(C5*C8)+((C4*C8)-(C5*C8))*EXP(-(MOD((178/80*(C6+C7)),(C6+C7))-C6)/(C9*C8))))*1000</f>
        <v/>
      </c>
      <c r="F204" s="25">
        <f>IF(AND(MOD((178/80*(C6+C7)),(C6+C7))&lt;C6,MOD((178/80*(C6+C7)),(C6+C7))&lt;C12),-ABS(C11)*SIN(PI()*MOD((178/80*(C6+C7)),(C6+C7))/C12),0)</f>
        <v/>
      </c>
      <c r="G204" s="25">
        <f>C5*(C10/(C8+C10))+(E204/1000)/C10+F204</f>
        <v/>
      </c>
      <c r="H204" s="25">
        <f>C204-G204</f>
        <v/>
      </c>
      <c r="I204" s="25">
        <f>C5+(E204/1000)/C8</f>
        <v/>
      </c>
    </row>
    <row r="205" ht="12.95" customHeight="1" s="44">
      <c r="B205" s="27">
        <f>(179/80*(C6+C7))</f>
        <v/>
      </c>
      <c r="C205" s="27">
        <f>IF(MOD((179/80*(C6+C7)),(C6+C7))&lt;C6,C4,C5)</f>
        <v/>
      </c>
      <c r="D205" s="27">
        <f>IF(MOD((179/80*(C6+C7)),(C6+C7))&lt;C6,0,-((C4*C8)-(C5*C8))/(C9*C8)*EXP(-(MOD((179/80*(C6+C7)),(C6+C7))-C6)/(C9*C8))*60)</f>
        <v/>
      </c>
      <c r="E205" s="28">
        <f>(IF(MOD((179/80*(C6+C7)),(C6+C7))&lt;C6,(C4*C8),(C5*C8)+((C4*C8)-(C5*C8))*EXP(-(MOD((179/80*(C6+C7)),(C6+C7))-C6)/(C9*C8))))*1000</f>
        <v/>
      </c>
      <c r="F205" s="27">
        <f>IF(AND(MOD((179/80*(C6+C7)),(C6+C7))&lt;C6,MOD((179/80*(C6+C7)),(C6+C7))&lt;C12),-ABS(C11)*SIN(PI()*MOD((179/80*(C6+C7)),(C6+C7))/C12),0)</f>
        <v/>
      </c>
      <c r="G205" s="27">
        <f>C5*(C10/(C8+C10))+(E205/1000)/C10+F205</f>
        <v/>
      </c>
      <c r="H205" s="27">
        <f>C205-G205</f>
        <v/>
      </c>
      <c r="I205" s="27">
        <f>C5+(E205/1000)/C8</f>
        <v/>
      </c>
    </row>
    <row r="206" ht="12.95" customHeight="1" s="44">
      <c r="B206" s="25">
        <f>(180/80*(C6+C7))</f>
        <v/>
      </c>
      <c r="C206" s="25">
        <f>IF(MOD((180/80*(C6+C7)),(C6+C7))&lt;C6,C4,C5)</f>
        <v/>
      </c>
      <c r="D206" s="25">
        <f>IF(MOD((180/80*(C6+C7)),(C6+C7))&lt;C6,0,-((C4*C8)-(C5*C8))/(C9*C8)*EXP(-(MOD((180/80*(C6+C7)),(C6+C7))-C6)/(C9*C8))*60)</f>
        <v/>
      </c>
      <c r="E206" s="26">
        <f>(IF(MOD((180/80*(C6+C7)),(C6+C7))&lt;C6,(C4*C8),(C5*C8)+((C4*C8)-(C5*C8))*EXP(-(MOD((180/80*(C6+C7)),(C6+C7))-C6)/(C9*C8))))*1000</f>
        <v/>
      </c>
      <c r="F206" s="25">
        <f>IF(AND(MOD((180/80*(C6+C7)),(C6+C7))&lt;C6,MOD((180/80*(C6+C7)),(C6+C7))&lt;C12),-ABS(C11)*SIN(PI()*MOD((180/80*(C6+C7)),(C6+C7))/C12),0)</f>
        <v/>
      </c>
      <c r="G206" s="25">
        <f>C5*(C10/(C8+C10))+(E206/1000)/C10+F206</f>
        <v/>
      </c>
      <c r="H206" s="25">
        <f>C206-G206</f>
        <v/>
      </c>
      <c r="I206" s="25">
        <f>C5+(E206/1000)/C8</f>
        <v/>
      </c>
    </row>
    <row r="207" ht="12.95" customHeight="1" s="44">
      <c r="B207" s="27">
        <f>(181/80*(C6+C7))</f>
        <v/>
      </c>
      <c r="C207" s="27">
        <f>IF(MOD((181/80*(C6+C7)),(C6+C7))&lt;C6,C4,C5)</f>
        <v/>
      </c>
      <c r="D207" s="27">
        <f>IF(MOD((181/80*(C6+C7)),(C6+C7))&lt;C6,0,-((C4*C8)-(C5*C8))/(C9*C8)*EXP(-(MOD((181/80*(C6+C7)),(C6+C7))-C6)/(C9*C8))*60)</f>
        <v/>
      </c>
      <c r="E207" s="28">
        <f>(IF(MOD((181/80*(C6+C7)),(C6+C7))&lt;C6,(C4*C8),(C5*C8)+((C4*C8)-(C5*C8))*EXP(-(MOD((181/80*(C6+C7)),(C6+C7))-C6)/(C9*C8))))*1000</f>
        <v/>
      </c>
      <c r="F207" s="27">
        <f>IF(AND(MOD((181/80*(C6+C7)),(C6+C7))&lt;C6,MOD((181/80*(C6+C7)),(C6+C7))&lt;C12),-ABS(C11)*SIN(PI()*MOD((181/80*(C6+C7)),(C6+C7))/C12),0)</f>
        <v/>
      </c>
      <c r="G207" s="27">
        <f>C5*(C10/(C8+C10))+(E207/1000)/C10+F207</f>
        <v/>
      </c>
      <c r="H207" s="27">
        <f>C207-G207</f>
        <v/>
      </c>
      <c r="I207" s="27">
        <f>C5+(E207/1000)/C8</f>
        <v/>
      </c>
    </row>
    <row r="208" ht="12.95" customHeight="1" s="44">
      <c r="B208" s="25">
        <f>(182/80*(C6+C7))</f>
        <v/>
      </c>
      <c r="C208" s="25">
        <f>IF(MOD((182/80*(C6+C7)),(C6+C7))&lt;C6,C4,C5)</f>
        <v/>
      </c>
      <c r="D208" s="25">
        <f>IF(MOD((182/80*(C6+C7)),(C6+C7))&lt;C6,0,-((C4*C8)-(C5*C8))/(C9*C8)*EXP(-(MOD((182/80*(C6+C7)),(C6+C7))-C6)/(C9*C8))*60)</f>
        <v/>
      </c>
      <c r="E208" s="26">
        <f>(IF(MOD((182/80*(C6+C7)),(C6+C7))&lt;C6,(C4*C8),(C5*C8)+((C4*C8)-(C5*C8))*EXP(-(MOD((182/80*(C6+C7)),(C6+C7))-C6)/(C9*C8))))*1000</f>
        <v/>
      </c>
      <c r="F208" s="25">
        <f>IF(AND(MOD((182/80*(C6+C7)),(C6+C7))&lt;C6,MOD((182/80*(C6+C7)),(C6+C7))&lt;C12),-ABS(C11)*SIN(PI()*MOD((182/80*(C6+C7)),(C6+C7))/C12),0)</f>
        <v/>
      </c>
      <c r="G208" s="25">
        <f>C5*(C10/(C8+C10))+(E208/1000)/C10+F208</f>
        <v/>
      </c>
      <c r="H208" s="25">
        <f>C208-G208</f>
        <v/>
      </c>
      <c r="I208" s="25">
        <f>C5+(E208/1000)/C8</f>
        <v/>
      </c>
    </row>
    <row r="209" ht="12.95" customHeight="1" s="44">
      <c r="B209" s="27">
        <f>(183/80*(C6+C7))</f>
        <v/>
      </c>
      <c r="C209" s="27">
        <f>IF(MOD((183/80*(C6+C7)),(C6+C7))&lt;C6,C4,C5)</f>
        <v/>
      </c>
      <c r="D209" s="27">
        <f>IF(MOD((183/80*(C6+C7)),(C6+C7))&lt;C6,0,-((C4*C8)-(C5*C8))/(C9*C8)*EXP(-(MOD((183/80*(C6+C7)),(C6+C7))-C6)/(C9*C8))*60)</f>
        <v/>
      </c>
      <c r="E209" s="28">
        <f>(IF(MOD((183/80*(C6+C7)),(C6+C7))&lt;C6,(C4*C8),(C5*C8)+((C4*C8)-(C5*C8))*EXP(-(MOD((183/80*(C6+C7)),(C6+C7))-C6)/(C9*C8))))*1000</f>
        <v/>
      </c>
      <c r="F209" s="27">
        <f>IF(AND(MOD((183/80*(C6+C7)),(C6+C7))&lt;C6,MOD((183/80*(C6+C7)),(C6+C7))&lt;C12),-ABS(C11)*SIN(PI()*MOD((183/80*(C6+C7)),(C6+C7))/C12),0)</f>
        <v/>
      </c>
      <c r="G209" s="27">
        <f>C5*(C10/(C8+C10))+(E209/1000)/C10+F209</f>
        <v/>
      </c>
      <c r="H209" s="27">
        <f>C209-G209</f>
        <v/>
      </c>
      <c r="I209" s="27">
        <f>C5+(E209/1000)/C8</f>
        <v/>
      </c>
    </row>
    <row r="210" ht="12.95" customHeight="1" s="44">
      <c r="B210" s="25">
        <f>(184/80*(C6+C7))</f>
        <v/>
      </c>
      <c r="C210" s="25">
        <f>IF(MOD((184/80*(C6+C7)),(C6+C7))&lt;C6,C4,C5)</f>
        <v/>
      </c>
      <c r="D210" s="25">
        <f>IF(MOD((184/80*(C6+C7)),(C6+C7))&lt;C6,0,-((C4*C8)-(C5*C8))/(C9*C8)*EXP(-(MOD((184/80*(C6+C7)),(C6+C7))-C6)/(C9*C8))*60)</f>
        <v/>
      </c>
      <c r="E210" s="26">
        <f>(IF(MOD((184/80*(C6+C7)),(C6+C7))&lt;C6,(C4*C8),(C5*C8)+((C4*C8)-(C5*C8))*EXP(-(MOD((184/80*(C6+C7)),(C6+C7))-C6)/(C9*C8))))*1000</f>
        <v/>
      </c>
      <c r="F210" s="25">
        <f>IF(AND(MOD((184/80*(C6+C7)),(C6+C7))&lt;C6,MOD((184/80*(C6+C7)),(C6+C7))&lt;C12),-ABS(C11)*SIN(PI()*MOD((184/80*(C6+C7)),(C6+C7))/C12),0)</f>
        <v/>
      </c>
      <c r="G210" s="25">
        <f>C5*(C10/(C8+C10))+(E210/1000)/C10+F210</f>
        <v/>
      </c>
      <c r="H210" s="25">
        <f>C210-G210</f>
        <v/>
      </c>
      <c r="I210" s="25">
        <f>C5+(E210/1000)/C8</f>
        <v/>
      </c>
    </row>
    <row r="211" ht="12.95" customHeight="1" s="44">
      <c r="B211" s="27">
        <f>(185/80*(C6+C7))</f>
        <v/>
      </c>
      <c r="C211" s="27">
        <f>IF(MOD((185/80*(C6+C7)),(C6+C7))&lt;C6,C4,C5)</f>
        <v/>
      </c>
      <c r="D211" s="27">
        <f>IF(MOD((185/80*(C6+C7)),(C6+C7))&lt;C6,0,-((C4*C8)-(C5*C8))/(C9*C8)*EXP(-(MOD((185/80*(C6+C7)),(C6+C7))-C6)/(C9*C8))*60)</f>
        <v/>
      </c>
      <c r="E211" s="28">
        <f>(IF(MOD((185/80*(C6+C7)),(C6+C7))&lt;C6,(C4*C8),(C5*C8)+((C4*C8)-(C5*C8))*EXP(-(MOD((185/80*(C6+C7)),(C6+C7))-C6)/(C9*C8))))*1000</f>
        <v/>
      </c>
      <c r="F211" s="27">
        <f>IF(AND(MOD((185/80*(C6+C7)),(C6+C7))&lt;C6,MOD((185/80*(C6+C7)),(C6+C7))&lt;C12),-ABS(C11)*SIN(PI()*MOD((185/80*(C6+C7)),(C6+C7))/C12),0)</f>
        <v/>
      </c>
      <c r="G211" s="27">
        <f>C5*(C10/(C8+C10))+(E211/1000)/C10+F211</f>
        <v/>
      </c>
      <c r="H211" s="27">
        <f>C211-G211</f>
        <v/>
      </c>
      <c r="I211" s="27">
        <f>C5+(E211/1000)/C8</f>
        <v/>
      </c>
    </row>
    <row r="212" ht="12.95" customHeight="1" s="44">
      <c r="B212" s="25">
        <f>(186/80*(C6+C7))</f>
        <v/>
      </c>
      <c r="C212" s="25">
        <f>IF(MOD((186/80*(C6+C7)),(C6+C7))&lt;C6,C4,C5)</f>
        <v/>
      </c>
      <c r="D212" s="25">
        <f>IF(MOD((186/80*(C6+C7)),(C6+C7))&lt;C6,0,-((C4*C8)-(C5*C8))/(C9*C8)*EXP(-(MOD((186/80*(C6+C7)),(C6+C7))-C6)/(C9*C8))*60)</f>
        <v/>
      </c>
      <c r="E212" s="26">
        <f>(IF(MOD((186/80*(C6+C7)),(C6+C7))&lt;C6,(C4*C8),(C5*C8)+((C4*C8)-(C5*C8))*EXP(-(MOD((186/80*(C6+C7)),(C6+C7))-C6)/(C9*C8))))*1000</f>
        <v/>
      </c>
      <c r="F212" s="25">
        <f>IF(AND(MOD((186/80*(C6+C7)),(C6+C7))&lt;C6,MOD((186/80*(C6+C7)),(C6+C7))&lt;C12),-ABS(C11)*SIN(PI()*MOD((186/80*(C6+C7)),(C6+C7))/C12),0)</f>
        <v/>
      </c>
      <c r="G212" s="25">
        <f>C5*(C10/(C8+C10))+(E212/1000)/C10+F212</f>
        <v/>
      </c>
      <c r="H212" s="25">
        <f>C212-G212</f>
        <v/>
      </c>
      <c r="I212" s="25">
        <f>C5+(E212/1000)/C8</f>
        <v/>
      </c>
    </row>
    <row r="213" ht="12.95" customHeight="1" s="44">
      <c r="B213" s="27">
        <f>(187/80*(C6+C7))</f>
        <v/>
      </c>
      <c r="C213" s="27">
        <f>IF(MOD((187/80*(C6+C7)),(C6+C7))&lt;C6,C4,C5)</f>
        <v/>
      </c>
      <c r="D213" s="27">
        <f>IF(MOD((187/80*(C6+C7)),(C6+C7))&lt;C6,0,-((C4*C8)-(C5*C8))/(C9*C8)*EXP(-(MOD((187/80*(C6+C7)),(C6+C7))-C6)/(C9*C8))*60)</f>
        <v/>
      </c>
      <c r="E213" s="28">
        <f>(IF(MOD((187/80*(C6+C7)),(C6+C7))&lt;C6,(C4*C8),(C5*C8)+((C4*C8)-(C5*C8))*EXP(-(MOD((187/80*(C6+C7)),(C6+C7))-C6)/(C9*C8))))*1000</f>
        <v/>
      </c>
      <c r="F213" s="27">
        <f>IF(AND(MOD((187/80*(C6+C7)),(C6+C7))&lt;C6,MOD((187/80*(C6+C7)),(C6+C7))&lt;C12),-ABS(C11)*SIN(PI()*MOD((187/80*(C6+C7)),(C6+C7))/C12),0)</f>
        <v/>
      </c>
      <c r="G213" s="27">
        <f>C5*(C10/(C8+C10))+(E213/1000)/C10+F213</f>
        <v/>
      </c>
      <c r="H213" s="27">
        <f>C213-G213</f>
        <v/>
      </c>
      <c r="I213" s="27">
        <f>C5+(E213/1000)/C8</f>
        <v/>
      </c>
    </row>
    <row r="214" ht="12.95" customHeight="1" s="44">
      <c r="B214" s="25">
        <f>(188/80*(C6+C7))</f>
        <v/>
      </c>
      <c r="C214" s="25">
        <f>IF(MOD((188/80*(C6+C7)),(C6+C7))&lt;C6,C4,C5)</f>
        <v/>
      </c>
      <c r="D214" s="25">
        <f>IF(MOD((188/80*(C6+C7)),(C6+C7))&lt;C6,0,-((C4*C8)-(C5*C8))/(C9*C8)*EXP(-(MOD((188/80*(C6+C7)),(C6+C7))-C6)/(C9*C8))*60)</f>
        <v/>
      </c>
      <c r="E214" s="26">
        <f>(IF(MOD((188/80*(C6+C7)),(C6+C7))&lt;C6,(C4*C8),(C5*C8)+((C4*C8)-(C5*C8))*EXP(-(MOD((188/80*(C6+C7)),(C6+C7))-C6)/(C9*C8))))*1000</f>
        <v/>
      </c>
      <c r="F214" s="25">
        <f>IF(AND(MOD((188/80*(C6+C7)),(C6+C7))&lt;C6,MOD((188/80*(C6+C7)),(C6+C7))&lt;C12),-ABS(C11)*SIN(PI()*MOD((188/80*(C6+C7)),(C6+C7))/C12),0)</f>
        <v/>
      </c>
      <c r="G214" s="25">
        <f>C5*(C10/(C8+C10))+(E214/1000)/C10+F214</f>
        <v/>
      </c>
      <c r="H214" s="25">
        <f>C214-G214</f>
        <v/>
      </c>
      <c r="I214" s="25">
        <f>C5+(E214/1000)/C8</f>
        <v/>
      </c>
    </row>
    <row r="215" ht="12.95" customHeight="1" s="44">
      <c r="B215" s="27">
        <f>(189/80*(C6+C7))</f>
        <v/>
      </c>
      <c r="C215" s="27">
        <f>IF(MOD((189/80*(C6+C7)),(C6+C7))&lt;C6,C4,C5)</f>
        <v/>
      </c>
      <c r="D215" s="27">
        <f>IF(MOD((189/80*(C6+C7)),(C6+C7))&lt;C6,0,-((C4*C8)-(C5*C8))/(C9*C8)*EXP(-(MOD((189/80*(C6+C7)),(C6+C7))-C6)/(C9*C8))*60)</f>
        <v/>
      </c>
      <c r="E215" s="28">
        <f>(IF(MOD((189/80*(C6+C7)),(C6+C7))&lt;C6,(C4*C8),(C5*C8)+((C4*C8)-(C5*C8))*EXP(-(MOD((189/80*(C6+C7)),(C6+C7))-C6)/(C9*C8))))*1000</f>
        <v/>
      </c>
      <c r="F215" s="27">
        <f>IF(AND(MOD((189/80*(C6+C7)),(C6+C7))&lt;C6,MOD((189/80*(C6+C7)),(C6+C7))&lt;C12),-ABS(C11)*SIN(PI()*MOD((189/80*(C6+C7)),(C6+C7))/C12),0)</f>
        <v/>
      </c>
      <c r="G215" s="27">
        <f>C5*(C10/(C8+C10))+(E215/1000)/C10+F215</f>
        <v/>
      </c>
      <c r="H215" s="27">
        <f>C215-G215</f>
        <v/>
      </c>
      <c r="I215" s="27">
        <f>C5+(E215/1000)/C8</f>
        <v/>
      </c>
    </row>
    <row r="216" ht="12.95" customHeight="1" s="44">
      <c r="B216" s="25">
        <f>(190/80*(C6+C7))</f>
        <v/>
      </c>
      <c r="C216" s="25">
        <f>IF(MOD((190/80*(C6+C7)),(C6+C7))&lt;C6,C4,C5)</f>
        <v/>
      </c>
      <c r="D216" s="25">
        <f>IF(MOD((190/80*(C6+C7)),(C6+C7))&lt;C6,0,-((C4*C8)-(C5*C8))/(C9*C8)*EXP(-(MOD((190/80*(C6+C7)),(C6+C7))-C6)/(C9*C8))*60)</f>
        <v/>
      </c>
      <c r="E216" s="26">
        <f>(IF(MOD((190/80*(C6+C7)),(C6+C7))&lt;C6,(C4*C8),(C5*C8)+((C4*C8)-(C5*C8))*EXP(-(MOD((190/80*(C6+C7)),(C6+C7))-C6)/(C9*C8))))*1000</f>
        <v/>
      </c>
      <c r="F216" s="25">
        <f>IF(AND(MOD((190/80*(C6+C7)),(C6+C7))&lt;C6,MOD((190/80*(C6+C7)),(C6+C7))&lt;C12),-ABS(C11)*SIN(PI()*MOD((190/80*(C6+C7)),(C6+C7))/C12),0)</f>
        <v/>
      </c>
      <c r="G216" s="25">
        <f>C5*(C10/(C8+C10))+(E216/1000)/C10+F216</f>
        <v/>
      </c>
      <c r="H216" s="25">
        <f>C216-G216</f>
        <v/>
      </c>
      <c r="I216" s="25">
        <f>C5+(E216/1000)/C8</f>
        <v/>
      </c>
    </row>
    <row r="217" ht="12.95" customHeight="1" s="44">
      <c r="B217" s="27">
        <f>(191/80*(C6+C7))</f>
        <v/>
      </c>
      <c r="C217" s="27">
        <f>IF(MOD((191/80*(C6+C7)),(C6+C7))&lt;C6,C4,C5)</f>
        <v/>
      </c>
      <c r="D217" s="27">
        <f>IF(MOD((191/80*(C6+C7)),(C6+C7))&lt;C6,0,-((C4*C8)-(C5*C8))/(C9*C8)*EXP(-(MOD((191/80*(C6+C7)),(C6+C7))-C6)/(C9*C8))*60)</f>
        <v/>
      </c>
      <c r="E217" s="28">
        <f>(IF(MOD((191/80*(C6+C7)),(C6+C7))&lt;C6,(C4*C8),(C5*C8)+((C4*C8)-(C5*C8))*EXP(-(MOD((191/80*(C6+C7)),(C6+C7))-C6)/(C9*C8))))*1000</f>
        <v/>
      </c>
      <c r="F217" s="27">
        <f>IF(AND(MOD((191/80*(C6+C7)),(C6+C7))&lt;C6,MOD((191/80*(C6+C7)),(C6+C7))&lt;C12),-ABS(C11)*SIN(PI()*MOD((191/80*(C6+C7)),(C6+C7))/C12),0)</f>
        <v/>
      </c>
      <c r="G217" s="27">
        <f>C5*(C10/(C8+C10))+(E217/1000)/C10+F217</f>
        <v/>
      </c>
      <c r="H217" s="27">
        <f>C217-G217</f>
        <v/>
      </c>
      <c r="I217" s="27">
        <f>C5+(E217/1000)/C8</f>
        <v/>
      </c>
    </row>
    <row r="218" ht="12.95" customHeight="1" s="44">
      <c r="B218" s="25">
        <f>(192/80*(C6+C7))</f>
        <v/>
      </c>
      <c r="C218" s="25">
        <f>IF(MOD((192/80*(C6+C7)),(C6+C7))&lt;C6,C4,C5)</f>
        <v/>
      </c>
      <c r="D218" s="25">
        <f>IF(MOD((192/80*(C6+C7)),(C6+C7))&lt;C6,0,-((C4*C8)-(C5*C8))/(C9*C8)*EXP(-(MOD((192/80*(C6+C7)),(C6+C7))-C6)/(C9*C8))*60)</f>
        <v/>
      </c>
      <c r="E218" s="26">
        <f>(IF(MOD((192/80*(C6+C7)),(C6+C7))&lt;C6,(C4*C8),(C5*C8)+((C4*C8)-(C5*C8))*EXP(-(MOD((192/80*(C6+C7)),(C6+C7))-C6)/(C9*C8))))*1000</f>
        <v/>
      </c>
      <c r="F218" s="25">
        <f>IF(AND(MOD((192/80*(C6+C7)),(C6+C7))&lt;C6,MOD((192/80*(C6+C7)),(C6+C7))&lt;C12),-ABS(C11)*SIN(PI()*MOD((192/80*(C6+C7)),(C6+C7))/C12),0)</f>
        <v/>
      </c>
      <c r="G218" s="25">
        <f>C5*(C10/(C8+C10))+(E218/1000)/C10+F218</f>
        <v/>
      </c>
      <c r="H218" s="25">
        <f>C218-G218</f>
        <v/>
      </c>
      <c r="I218" s="25">
        <f>C5+(E218/1000)/C8</f>
        <v/>
      </c>
    </row>
    <row r="219" ht="12.95" customHeight="1" s="44">
      <c r="B219" s="27">
        <f>(193/80*(C6+C7))</f>
        <v/>
      </c>
      <c r="C219" s="27">
        <f>IF(MOD((193/80*(C6+C7)),(C6+C7))&lt;C6,C4,C5)</f>
        <v/>
      </c>
      <c r="D219" s="27">
        <f>IF(MOD((193/80*(C6+C7)),(C6+C7))&lt;C6,0,-((C4*C8)-(C5*C8))/(C9*C8)*EXP(-(MOD((193/80*(C6+C7)),(C6+C7))-C6)/(C9*C8))*60)</f>
        <v/>
      </c>
      <c r="E219" s="28">
        <f>(IF(MOD((193/80*(C6+C7)),(C6+C7))&lt;C6,(C4*C8),(C5*C8)+((C4*C8)-(C5*C8))*EXP(-(MOD((193/80*(C6+C7)),(C6+C7))-C6)/(C9*C8))))*1000</f>
        <v/>
      </c>
      <c r="F219" s="27">
        <f>IF(AND(MOD((193/80*(C6+C7)),(C6+C7))&lt;C6,MOD((193/80*(C6+C7)),(C6+C7))&lt;C12),-ABS(C11)*SIN(PI()*MOD((193/80*(C6+C7)),(C6+C7))/C12),0)</f>
        <v/>
      </c>
      <c r="G219" s="27">
        <f>C5*(C10/(C8+C10))+(E219/1000)/C10+F219</f>
        <v/>
      </c>
      <c r="H219" s="27">
        <f>C219-G219</f>
        <v/>
      </c>
      <c r="I219" s="27">
        <f>C5+(E219/1000)/C8</f>
        <v/>
      </c>
    </row>
    <row r="220" ht="12.95" customHeight="1" s="44">
      <c r="B220" s="25">
        <f>(194/80*(C6+C7))</f>
        <v/>
      </c>
      <c r="C220" s="25">
        <f>IF(MOD((194/80*(C6+C7)),(C6+C7))&lt;C6,C4,C5)</f>
        <v/>
      </c>
      <c r="D220" s="25">
        <f>IF(MOD((194/80*(C6+C7)),(C6+C7))&lt;C6,0,-((C4*C8)-(C5*C8))/(C9*C8)*EXP(-(MOD((194/80*(C6+C7)),(C6+C7))-C6)/(C9*C8))*60)</f>
        <v/>
      </c>
      <c r="E220" s="26">
        <f>(IF(MOD((194/80*(C6+C7)),(C6+C7))&lt;C6,(C4*C8),(C5*C8)+((C4*C8)-(C5*C8))*EXP(-(MOD((194/80*(C6+C7)),(C6+C7))-C6)/(C9*C8))))*1000</f>
        <v/>
      </c>
      <c r="F220" s="25">
        <f>IF(AND(MOD((194/80*(C6+C7)),(C6+C7))&lt;C6,MOD((194/80*(C6+C7)),(C6+C7))&lt;C12),-ABS(C11)*SIN(PI()*MOD((194/80*(C6+C7)),(C6+C7))/C12),0)</f>
        <v/>
      </c>
      <c r="G220" s="25">
        <f>C5*(C10/(C8+C10))+(E220/1000)/C10+F220</f>
        <v/>
      </c>
      <c r="H220" s="25">
        <f>C220-G220</f>
        <v/>
      </c>
      <c r="I220" s="25">
        <f>C5+(E220/1000)/C8</f>
        <v/>
      </c>
    </row>
    <row r="221" ht="12.95" customHeight="1" s="44">
      <c r="B221" s="27">
        <f>(195/80*(C6+C7))</f>
        <v/>
      </c>
      <c r="C221" s="27">
        <f>IF(MOD((195/80*(C6+C7)),(C6+C7))&lt;C6,C4,C5)</f>
        <v/>
      </c>
      <c r="D221" s="27">
        <f>IF(MOD((195/80*(C6+C7)),(C6+C7))&lt;C6,0,-((C4*C8)-(C5*C8))/(C9*C8)*EXP(-(MOD((195/80*(C6+C7)),(C6+C7))-C6)/(C9*C8))*60)</f>
        <v/>
      </c>
      <c r="E221" s="28">
        <f>(IF(MOD((195/80*(C6+C7)),(C6+C7))&lt;C6,(C4*C8),(C5*C8)+((C4*C8)-(C5*C8))*EXP(-(MOD((195/80*(C6+C7)),(C6+C7))-C6)/(C9*C8))))*1000</f>
        <v/>
      </c>
      <c r="F221" s="27">
        <f>IF(AND(MOD((195/80*(C6+C7)),(C6+C7))&lt;C6,MOD((195/80*(C6+C7)),(C6+C7))&lt;C12),-ABS(C11)*SIN(PI()*MOD((195/80*(C6+C7)),(C6+C7))/C12),0)</f>
        <v/>
      </c>
      <c r="G221" s="27">
        <f>C5*(C10/(C8+C10))+(E221/1000)/C10+F221</f>
        <v/>
      </c>
      <c r="H221" s="27">
        <f>C221-G221</f>
        <v/>
      </c>
      <c r="I221" s="27">
        <f>C5+(E221/1000)/C8</f>
        <v/>
      </c>
    </row>
    <row r="222" ht="12.95" customHeight="1" s="44">
      <c r="B222" s="25">
        <f>(196/80*(C6+C7))</f>
        <v/>
      </c>
      <c r="C222" s="25">
        <f>IF(MOD((196/80*(C6+C7)),(C6+C7))&lt;C6,C4,C5)</f>
        <v/>
      </c>
      <c r="D222" s="25">
        <f>IF(MOD((196/80*(C6+C7)),(C6+C7))&lt;C6,0,-((C4*C8)-(C5*C8))/(C9*C8)*EXP(-(MOD((196/80*(C6+C7)),(C6+C7))-C6)/(C9*C8))*60)</f>
        <v/>
      </c>
      <c r="E222" s="26">
        <f>(IF(MOD((196/80*(C6+C7)),(C6+C7))&lt;C6,(C4*C8),(C5*C8)+((C4*C8)-(C5*C8))*EXP(-(MOD((196/80*(C6+C7)),(C6+C7))-C6)/(C9*C8))))*1000</f>
        <v/>
      </c>
      <c r="F222" s="25">
        <f>IF(AND(MOD((196/80*(C6+C7)),(C6+C7))&lt;C6,MOD((196/80*(C6+C7)),(C6+C7))&lt;C12),-ABS(C11)*SIN(PI()*MOD((196/80*(C6+C7)),(C6+C7))/C12),0)</f>
        <v/>
      </c>
      <c r="G222" s="25">
        <f>C5*(C10/(C8+C10))+(E222/1000)/C10+F222</f>
        <v/>
      </c>
      <c r="H222" s="25">
        <f>C222-G222</f>
        <v/>
      </c>
      <c r="I222" s="25">
        <f>C5+(E222/1000)/C8</f>
        <v/>
      </c>
    </row>
    <row r="223" ht="12.95" customHeight="1" s="44">
      <c r="B223" s="27">
        <f>(197/80*(C6+C7))</f>
        <v/>
      </c>
      <c r="C223" s="27">
        <f>IF(MOD((197/80*(C6+C7)),(C6+C7))&lt;C6,C4,C5)</f>
        <v/>
      </c>
      <c r="D223" s="27">
        <f>IF(MOD((197/80*(C6+C7)),(C6+C7))&lt;C6,0,-((C4*C8)-(C5*C8))/(C9*C8)*EXP(-(MOD((197/80*(C6+C7)),(C6+C7))-C6)/(C9*C8))*60)</f>
        <v/>
      </c>
      <c r="E223" s="28">
        <f>(IF(MOD((197/80*(C6+C7)),(C6+C7))&lt;C6,(C4*C8),(C5*C8)+((C4*C8)-(C5*C8))*EXP(-(MOD((197/80*(C6+C7)),(C6+C7))-C6)/(C9*C8))))*1000</f>
        <v/>
      </c>
      <c r="F223" s="27">
        <f>IF(AND(MOD((197/80*(C6+C7)),(C6+C7))&lt;C6,MOD((197/80*(C6+C7)),(C6+C7))&lt;C12),-ABS(C11)*SIN(PI()*MOD((197/80*(C6+C7)),(C6+C7))/C12),0)</f>
        <v/>
      </c>
      <c r="G223" s="27">
        <f>C5*(C10/(C8+C10))+(E223/1000)/C10+F223</f>
        <v/>
      </c>
      <c r="H223" s="27">
        <f>C223-G223</f>
        <v/>
      </c>
      <c r="I223" s="27">
        <f>C5+(E223/1000)/C8</f>
        <v/>
      </c>
    </row>
    <row r="224" ht="12.95" customHeight="1" s="44">
      <c r="B224" s="25">
        <f>(198/80*(C6+C7))</f>
        <v/>
      </c>
      <c r="C224" s="25">
        <f>IF(MOD((198/80*(C6+C7)),(C6+C7))&lt;C6,C4,C5)</f>
        <v/>
      </c>
      <c r="D224" s="25">
        <f>IF(MOD((198/80*(C6+C7)),(C6+C7))&lt;C6,0,-((C4*C8)-(C5*C8))/(C9*C8)*EXP(-(MOD((198/80*(C6+C7)),(C6+C7))-C6)/(C9*C8))*60)</f>
        <v/>
      </c>
      <c r="E224" s="26">
        <f>(IF(MOD((198/80*(C6+C7)),(C6+C7))&lt;C6,(C4*C8),(C5*C8)+((C4*C8)-(C5*C8))*EXP(-(MOD((198/80*(C6+C7)),(C6+C7))-C6)/(C9*C8))))*1000</f>
        <v/>
      </c>
      <c r="F224" s="25">
        <f>IF(AND(MOD((198/80*(C6+C7)),(C6+C7))&lt;C6,MOD((198/80*(C6+C7)),(C6+C7))&lt;C12),-ABS(C11)*SIN(PI()*MOD((198/80*(C6+C7)),(C6+C7))/C12),0)</f>
        <v/>
      </c>
      <c r="G224" s="25">
        <f>C5*(C10/(C8+C10))+(E224/1000)/C10+F224</f>
        <v/>
      </c>
      <c r="H224" s="25">
        <f>C224-G224</f>
        <v/>
      </c>
      <c r="I224" s="25">
        <f>C5+(E224/1000)/C8</f>
        <v/>
      </c>
    </row>
    <row r="225" ht="12.95" customHeight="1" s="44">
      <c r="B225" s="27">
        <f>(199/80*(C6+C7))</f>
        <v/>
      </c>
      <c r="C225" s="27">
        <f>IF(MOD((199/80*(C6+C7)),(C6+C7))&lt;C6,C4,C5)</f>
        <v/>
      </c>
      <c r="D225" s="27">
        <f>IF(MOD((199/80*(C6+C7)),(C6+C7))&lt;C6,0,-((C4*C8)-(C5*C8))/(C9*C8)*EXP(-(MOD((199/80*(C6+C7)),(C6+C7))-C6)/(C9*C8))*60)</f>
        <v/>
      </c>
      <c r="E225" s="28">
        <f>(IF(MOD((199/80*(C6+C7)),(C6+C7))&lt;C6,(C4*C8),(C5*C8)+((C4*C8)-(C5*C8))*EXP(-(MOD((199/80*(C6+C7)),(C6+C7))-C6)/(C9*C8))))*1000</f>
        <v/>
      </c>
      <c r="F225" s="27">
        <f>IF(AND(MOD((199/80*(C6+C7)),(C6+C7))&lt;C6,MOD((199/80*(C6+C7)),(C6+C7))&lt;C12),-ABS(C11)*SIN(PI()*MOD((199/80*(C6+C7)),(C6+C7))/C12),0)</f>
        <v/>
      </c>
      <c r="G225" s="27">
        <f>C5*(C10/(C8+C10))+(E225/1000)/C10+F225</f>
        <v/>
      </c>
      <c r="H225" s="27">
        <f>C225-G225</f>
        <v/>
      </c>
      <c r="I225" s="27">
        <f>C5+(E225/1000)/C8</f>
        <v/>
      </c>
    </row>
    <row r="226" ht="12.95" customHeight="1" s="44">
      <c r="B226" s="25">
        <f>(200/80*(C6+C7))</f>
        <v/>
      </c>
      <c r="C226" s="25">
        <f>IF(MOD((200/80*(C6+C7)),(C6+C7))&lt;C6,C4,C5)</f>
        <v/>
      </c>
      <c r="D226" s="25">
        <f>IF(MOD((200/80*(C6+C7)),(C6+C7))&lt;C6,0,-((C4*C8)-(C5*C8))/(C9*C8)*EXP(-(MOD((200/80*(C6+C7)),(C6+C7))-C6)/(C9*C8))*60)</f>
        <v/>
      </c>
      <c r="E226" s="26">
        <f>(IF(MOD((200/80*(C6+C7)),(C6+C7))&lt;C6,(C4*C8),(C5*C8)+((C4*C8)-(C5*C8))*EXP(-(MOD((200/80*(C6+C7)),(C6+C7))-C6)/(C9*C8))))*1000</f>
        <v/>
      </c>
      <c r="F226" s="25">
        <f>IF(AND(MOD((200/80*(C6+C7)),(C6+C7))&lt;C6,MOD((200/80*(C6+C7)),(C6+C7))&lt;C12),-ABS(C11)*SIN(PI()*MOD((200/80*(C6+C7)),(C6+C7))/C12),0)</f>
        <v/>
      </c>
      <c r="G226" s="25">
        <f>C5*(C10/(C8+C10))+(E226/1000)/C10+F226</f>
        <v/>
      </c>
      <c r="H226" s="25">
        <f>C226-G226</f>
        <v/>
      </c>
      <c r="I226" s="25">
        <f>C5+(E226/1000)/C8</f>
        <v/>
      </c>
    </row>
    <row r="227" ht="12.95" customHeight="1" s="44">
      <c r="B227" s="27">
        <f>(201/80*(C6+C7))</f>
        <v/>
      </c>
      <c r="C227" s="27">
        <f>IF(MOD((201/80*(C6+C7)),(C6+C7))&lt;C6,C4,C5)</f>
        <v/>
      </c>
      <c r="D227" s="27">
        <f>IF(MOD((201/80*(C6+C7)),(C6+C7))&lt;C6,0,-((C4*C8)-(C5*C8))/(C9*C8)*EXP(-(MOD((201/80*(C6+C7)),(C6+C7))-C6)/(C9*C8))*60)</f>
        <v/>
      </c>
      <c r="E227" s="28">
        <f>(IF(MOD((201/80*(C6+C7)),(C6+C7))&lt;C6,(C4*C8),(C5*C8)+((C4*C8)-(C5*C8))*EXP(-(MOD((201/80*(C6+C7)),(C6+C7))-C6)/(C9*C8))))*1000</f>
        <v/>
      </c>
      <c r="F227" s="27">
        <f>IF(AND(MOD((201/80*(C6+C7)),(C6+C7))&lt;C6,MOD((201/80*(C6+C7)),(C6+C7))&lt;C12),-ABS(C11)*SIN(PI()*MOD((201/80*(C6+C7)),(C6+C7))/C12),0)</f>
        <v/>
      </c>
      <c r="G227" s="27">
        <f>C5*(C10/(C8+C10))+(E227/1000)/C10+F227</f>
        <v/>
      </c>
      <c r="H227" s="27">
        <f>C227-G227</f>
        <v/>
      </c>
      <c r="I227" s="27">
        <f>C5+(E227/1000)/C8</f>
        <v/>
      </c>
    </row>
    <row r="228" ht="12.95" customHeight="1" s="44">
      <c r="B228" s="25">
        <f>(202/80*(C6+C7))</f>
        <v/>
      </c>
      <c r="C228" s="25">
        <f>IF(MOD((202/80*(C6+C7)),(C6+C7))&lt;C6,C4,C5)</f>
        <v/>
      </c>
      <c r="D228" s="25">
        <f>IF(MOD((202/80*(C6+C7)),(C6+C7))&lt;C6,0,-((C4*C8)-(C5*C8))/(C9*C8)*EXP(-(MOD((202/80*(C6+C7)),(C6+C7))-C6)/(C9*C8))*60)</f>
        <v/>
      </c>
      <c r="E228" s="26">
        <f>(IF(MOD((202/80*(C6+C7)),(C6+C7))&lt;C6,(C4*C8),(C5*C8)+((C4*C8)-(C5*C8))*EXP(-(MOD((202/80*(C6+C7)),(C6+C7))-C6)/(C9*C8))))*1000</f>
        <v/>
      </c>
      <c r="F228" s="25">
        <f>IF(AND(MOD((202/80*(C6+C7)),(C6+C7))&lt;C6,MOD((202/80*(C6+C7)),(C6+C7))&lt;C12),-ABS(C11)*SIN(PI()*MOD((202/80*(C6+C7)),(C6+C7))/C12),0)</f>
        <v/>
      </c>
      <c r="G228" s="25">
        <f>C5*(C10/(C8+C10))+(E228/1000)/C10+F228</f>
        <v/>
      </c>
      <c r="H228" s="25">
        <f>C228-G228</f>
        <v/>
      </c>
      <c r="I228" s="25">
        <f>C5+(E228/1000)/C8</f>
        <v/>
      </c>
    </row>
    <row r="229" ht="12.95" customHeight="1" s="44">
      <c r="B229" s="27">
        <f>(203/80*(C6+C7))</f>
        <v/>
      </c>
      <c r="C229" s="27">
        <f>IF(MOD((203/80*(C6+C7)),(C6+C7))&lt;C6,C4,C5)</f>
        <v/>
      </c>
      <c r="D229" s="27">
        <f>IF(MOD((203/80*(C6+C7)),(C6+C7))&lt;C6,0,-((C4*C8)-(C5*C8))/(C9*C8)*EXP(-(MOD((203/80*(C6+C7)),(C6+C7))-C6)/(C9*C8))*60)</f>
        <v/>
      </c>
      <c r="E229" s="28">
        <f>(IF(MOD((203/80*(C6+C7)),(C6+C7))&lt;C6,(C4*C8),(C5*C8)+((C4*C8)-(C5*C8))*EXP(-(MOD((203/80*(C6+C7)),(C6+C7))-C6)/(C9*C8))))*1000</f>
        <v/>
      </c>
      <c r="F229" s="27">
        <f>IF(AND(MOD((203/80*(C6+C7)),(C6+C7))&lt;C6,MOD((203/80*(C6+C7)),(C6+C7))&lt;C12),-ABS(C11)*SIN(PI()*MOD((203/80*(C6+C7)),(C6+C7))/C12),0)</f>
        <v/>
      </c>
      <c r="G229" s="27">
        <f>C5*(C10/(C8+C10))+(E229/1000)/C10+F229</f>
        <v/>
      </c>
      <c r="H229" s="27">
        <f>C229-G229</f>
        <v/>
      </c>
      <c r="I229" s="27">
        <f>C5+(E229/1000)/C8</f>
        <v/>
      </c>
    </row>
    <row r="230" ht="12.95" customHeight="1" s="44">
      <c r="B230" s="25">
        <f>(204/80*(C6+C7))</f>
        <v/>
      </c>
      <c r="C230" s="25">
        <f>IF(MOD((204/80*(C6+C7)),(C6+C7))&lt;C6,C4,C5)</f>
        <v/>
      </c>
      <c r="D230" s="25">
        <f>IF(MOD((204/80*(C6+C7)),(C6+C7))&lt;C6,0,-((C4*C8)-(C5*C8))/(C9*C8)*EXP(-(MOD((204/80*(C6+C7)),(C6+C7))-C6)/(C9*C8))*60)</f>
        <v/>
      </c>
      <c r="E230" s="26">
        <f>(IF(MOD((204/80*(C6+C7)),(C6+C7))&lt;C6,(C4*C8),(C5*C8)+((C4*C8)-(C5*C8))*EXP(-(MOD((204/80*(C6+C7)),(C6+C7))-C6)/(C9*C8))))*1000</f>
        <v/>
      </c>
      <c r="F230" s="25">
        <f>IF(AND(MOD((204/80*(C6+C7)),(C6+C7))&lt;C6,MOD((204/80*(C6+C7)),(C6+C7))&lt;C12),-ABS(C11)*SIN(PI()*MOD((204/80*(C6+C7)),(C6+C7))/C12),0)</f>
        <v/>
      </c>
      <c r="G230" s="25">
        <f>C5*(C10/(C8+C10))+(E230/1000)/C10+F230</f>
        <v/>
      </c>
      <c r="H230" s="25">
        <f>C230-G230</f>
        <v/>
      </c>
      <c r="I230" s="25">
        <f>C5+(E230/1000)/C8</f>
        <v/>
      </c>
    </row>
    <row r="231" ht="12.95" customHeight="1" s="44">
      <c r="B231" s="27">
        <f>(205/80*(C6+C7))</f>
        <v/>
      </c>
      <c r="C231" s="27">
        <f>IF(MOD((205/80*(C6+C7)),(C6+C7))&lt;C6,C4,C5)</f>
        <v/>
      </c>
      <c r="D231" s="27">
        <f>IF(MOD((205/80*(C6+C7)),(C6+C7))&lt;C6,0,-((C4*C8)-(C5*C8))/(C9*C8)*EXP(-(MOD((205/80*(C6+C7)),(C6+C7))-C6)/(C9*C8))*60)</f>
        <v/>
      </c>
      <c r="E231" s="28">
        <f>(IF(MOD((205/80*(C6+C7)),(C6+C7))&lt;C6,(C4*C8),(C5*C8)+((C4*C8)-(C5*C8))*EXP(-(MOD((205/80*(C6+C7)),(C6+C7))-C6)/(C9*C8))))*1000</f>
        <v/>
      </c>
      <c r="F231" s="27">
        <f>IF(AND(MOD((205/80*(C6+C7)),(C6+C7))&lt;C6,MOD((205/80*(C6+C7)),(C6+C7))&lt;C12),-ABS(C11)*SIN(PI()*MOD((205/80*(C6+C7)),(C6+C7))/C12),0)</f>
        <v/>
      </c>
      <c r="G231" s="27">
        <f>C5*(C10/(C8+C10))+(E231/1000)/C10+F231</f>
        <v/>
      </c>
      <c r="H231" s="27">
        <f>C231-G231</f>
        <v/>
      </c>
      <c r="I231" s="27">
        <f>C5+(E231/1000)/C8</f>
        <v/>
      </c>
    </row>
    <row r="232" ht="12.95" customHeight="1" s="44">
      <c r="B232" s="25">
        <f>(206/80*(C6+C7))</f>
        <v/>
      </c>
      <c r="C232" s="25">
        <f>IF(MOD((206/80*(C6+C7)),(C6+C7))&lt;C6,C4,C5)</f>
        <v/>
      </c>
      <c r="D232" s="25">
        <f>IF(MOD((206/80*(C6+C7)),(C6+C7))&lt;C6,0,-((C4*C8)-(C5*C8))/(C9*C8)*EXP(-(MOD((206/80*(C6+C7)),(C6+C7))-C6)/(C9*C8))*60)</f>
        <v/>
      </c>
      <c r="E232" s="26">
        <f>(IF(MOD((206/80*(C6+C7)),(C6+C7))&lt;C6,(C4*C8),(C5*C8)+((C4*C8)-(C5*C8))*EXP(-(MOD((206/80*(C6+C7)),(C6+C7))-C6)/(C9*C8))))*1000</f>
        <v/>
      </c>
      <c r="F232" s="25">
        <f>IF(AND(MOD((206/80*(C6+C7)),(C6+C7))&lt;C6,MOD((206/80*(C6+C7)),(C6+C7))&lt;C12),-ABS(C11)*SIN(PI()*MOD((206/80*(C6+C7)),(C6+C7))/C12),0)</f>
        <v/>
      </c>
      <c r="G232" s="25">
        <f>C5*(C10/(C8+C10))+(E232/1000)/C10+F232</f>
        <v/>
      </c>
      <c r="H232" s="25">
        <f>C232-G232</f>
        <v/>
      </c>
      <c r="I232" s="25">
        <f>C5+(E232/1000)/C8</f>
        <v/>
      </c>
    </row>
    <row r="233" ht="12.95" customHeight="1" s="44">
      <c r="B233" s="27">
        <f>(207/80*(C6+C7))</f>
        <v/>
      </c>
      <c r="C233" s="27">
        <f>IF(MOD((207/80*(C6+C7)),(C6+C7))&lt;C6,C4,C5)</f>
        <v/>
      </c>
      <c r="D233" s="27">
        <f>IF(MOD((207/80*(C6+C7)),(C6+C7))&lt;C6,0,-((C4*C8)-(C5*C8))/(C9*C8)*EXP(-(MOD((207/80*(C6+C7)),(C6+C7))-C6)/(C9*C8))*60)</f>
        <v/>
      </c>
      <c r="E233" s="28">
        <f>(IF(MOD((207/80*(C6+C7)),(C6+C7))&lt;C6,(C4*C8),(C5*C8)+((C4*C8)-(C5*C8))*EXP(-(MOD((207/80*(C6+C7)),(C6+C7))-C6)/(C9*C8))))*1000</f>
        <v/>
      </c>
      <c r="F233" s="27">
        <f>IF(AND(MOD((207/80*(C6+C7)),(C6+C7))&lt;C6,MOD((207/80*(C6+C7)),(C6+C7))&lt;C12),-ABS(C11)*SIN(PI()*MOD((207/80*(C6+C7)),(C6+C7))/C12),0)</f>
        <v/>
      </c>
      <c r="G233" s="27">
        <f>C5*(C10/(C8+C10))+(E233/1000)/C10+F233</f>
        <v/>
      </c>
      <c r="H233" s="27">
        <f>C233-G233</f>
        <v/>
      </c>
      <c r="I233" s="27">
        <f>C5+(E233/1000)/C8</f>
        <v/>
      </c>
    </row>
    <row r="234" ht="12.95" customHeight="1" s="44">
      <c r="B234" s="25">
        <f>(208/80*(C6+C7))</f>
        <v/>
      </c>
      <c r="C234" s="25">
        <f>IF(MOD((208/80*(C6+C7)),(C6+C7))&lt;C6,C4,C5)</f>
        <v/>
      </c>
      <c r="D234" s="25">
        <f>IF(MOD((208/80*(C6+C7)),(C6+C7))&lt;C6,0,-((C4*C8)-(C5*C8))/(C9*C8)*EXP(-(MOD((208/80*(C6+C7)),(C6+C7))-C6)/(C9*C8))*60)</f>
        <v/>
      </c>
      <c r="E234" s="26">
        <f>(IF(MOD((208/80*(C6+C7)),(C6+C7))&lt;C6,(C4*C8),(C5*C8)+((C4*C8)-(C5*C8))*EXP(-(MOD((208/80*(C6+C7)),(C6+C7))-C6)/(C9*C8))))*1000</f>
        <v/>
      </c>
      <c r="F234" s="25">
        <f>IF(AND(MOD((208/80*(C6+C7)),(C6+C7))&lt;C6,MOD((208/80*(C6+C7)),(C6+C7))&lt;C12),-ABS(C11)*SIN(PI()*MOD((208/80*(C6+C7)),(C6+C7))/C12),0)</f>
        <v/>
      </c>
      <c r="G234" s="25">
        <f>C5*(C10/(C8+C10))+(E234/1000)/C10+F234</f>
        <v/>
      </c>
      <c r="H234" s="25">
        <f>C234-G234</f>
        <v/>
      </c>
      <c r="I234" s="25">
        <f>C5+(E234/1000)/C8</f>
        <v/>
      </c>
    </row>
    <row r="235" ht="12.95" customHeight="1" s="44">
      <c r="B235" s="27">
        <f>(209/80*(C6+C7))</f>
        <v/>
      </c>
      <c r="C235" s="27">
        <f>IF(MOD((209/80*(C6+C7)),(C6+C7))&lt;C6,C4,C5)</f>
        <v/>
      </c>
      <c r="D235" s="27">
        <f>IF(MOD((209/80*(C6+C7)),(C6+C7))&lt;C6,0,-((C4*C8)-(C5*C8))/(C9*C8)*EXP(-(MOD((209/80*(C6+C7)),(C6+C7))-C6)/(C9*C8))*60)</f>
        <v/>
      </c>
      <c r="E235" s="28">
        <f>(IF(MOD((209/80*(C6+C7)),(C6+C7))&lt;C6,(C4*C8),(C5*C8)+((C4*C8)-(C5*C8))*EXP(-(MOD((209/80*(C6+C7)),(C6+C7))-C6)/(C9*C8))))*1000</f>
        <v/>
      </c>
      <c r="F235" s="27">
        <f>IF(AND(MOD((209/80*(C6+C7)),(C6+C7))&lt;C6,MOD((209/80*(C6+C7)),(C6+C7))&lt;C12),-ABS(C11)*SIN(PI()*MOD((209/80*(C6+C7)),(C6+C7))/C12),0)</f>
        <v/>
      </c>
      <c r="G235" s="27">
        <f>C5*(C10/(C8+C10))+(E235/1000)/C10+F235</f>
        <v/>
      </c>
      <c r="H235" s="27">
        <f>C235-G235</f>
        <v/>
      </c>
      <c r="I235" s="27">
        <f>C5+(E235/1000)/C8</f>
        <v/>
      </c>
    </row>
    <row r="236" ht="12.95" customHeight="1" s="44">
      <c r="B236" s="25">
        <f>(210/80*(C6+C7))</f>
        <v/>
      </c>
      <c r="C236" s="25">
        <f>IF(MOD((210/80*(C6+C7)),(C6+C7))&lt;C6,C4,C5)</f>
        <v/>
      </c>
      <c r="D236" s="25">
        <f>IF(MOD((210/80*(C6+C7)),(C6+C7))&lt;C6,0,-((C4*C8)-(C5*C8))/(C9*C8)*EXP(-(MOD((210/80*(C6+C7)),(C6+C7))-C6)/(C9*C8))*60)</f>
        <v/>
      </c>
      <c r="E236" s="26">
        <f>(IF(MOD((210/80*(C6+C7)),(C6+C7))&lt;C6,(C4*C8),(C5*C8)+((C4*C8)-(C5*C8))*EXP(-(MOD((210/80*(C6+C7)),(C6+C7))-C6)/(C9*C8))))*1000</f>
        <v/>
      </c>
      <c r="F236" s="25">
        <f>IF(AND(MOD((210/80*(C6+C7)),(C6+C7))&lt;C6,MOD((210/80*(C6+C7)),(C6+C7))&lt;C12),-ABS(C11)*SIN(PI()*MOD((210/80*(C6+C7)),(C6+C7))/C12),0)</f>
        <v/>
      </c>
      <c r="G236" s="25">
        <f>C5*(C10/(C8+C10))+(E236/1000)/C10+F236</f>
        <v/>
      </c>
      <c r="H236" s="25">
        <f>C236-G236</f>
        <v/>
      </c>
      <c r="I236" s="25">
        <f>C5+(E236/1000)/C8</f>
        <v/>
      </c>
    </row>
    <row r="237" ht="12.95" customHeight="1" s="44">
      <c r="B237" s="27">
        <f>(211/80*(C6+C7))</f>
        <v/>
      </c>
      <c r="C237" s="27">
        <f>IF(MOD((211/80*(C6+C7)),(C6+C7))&lt;C6,C4,C5)</f>
        <v/>
      </c>
      <c r="D237" s="27">
        <f>IF(MOD((211/80*(C6+C7)),(C6+C7))&lt;C6,0,-((C4*C8)-(C5*C8))/(C9*C8)*EXP(-(MOD((211/80*(C6+C7)),(C6+C7))-C6)/(C9*C8))*60)</f>
        <v/>
      </c>
      <c r="E237" s="28">
        <f>(IF(MOD((211/80*(C6+C7)),(C6+C7))&lt;C6,(C4*C8),(C5*C8)+((C4*C8)-(C5*C8))*EXP(-(MOD((211/80*(C6+C7)),(C6+C7))-C6)/(C9*C8))))*1000</f>
        <v/>
      </c>
      <c r="F237" s="27">
        <f>IF(AND(MOD((211/80*(C6+C7)),(C6+C7))&lt;C6,MOD((211/80*(C6+C7)),(C6+C7))&lt;C12),-ABS(C11)*SIN(PI()*MOD((211/80*(C6+C7)),(C6+C7))/C12),0)</f>
        <v/>
      </c>
      <c r="G237" s="27">
        <f>C5*(C10/(C8+C10))+(E237/1000)/C10+F237</f>
        <v/>
      </c>
      <c r="H237" s="27">
        <f>C237-G237</f>
        <v/>
      </c>
      <c r="I237" s="27">
        <f>C5+(E237/1000)/C8</f>
        <v/>
      </c>
    </row>
    <row r="238" ht="12.95" customHeight="1" s="44">
      <c r="B238" s="25">
        <f>(212/80*(C6+C7))</f>
        <v/>
      </c>
      <c r="C238" s="25">
        <f>IF(MOD((212/80*(C6+C7)),(C6+C7))&lt;C6,C4,C5)</f>
        <v/>
      </c>
      <c r="D238" s="25">
        <f>IF(MOD((212/80*(C6+C7)),(C6+C7))&lt;C6,0,-((C4*C8)-(C5*C8))/(C9*C8)*EXP(-(MOD((212/80*(C6+C7)),(C6+C7))-C6)/(C9*C8))*60)</f>
        <v/>
      </c>
      <c r="E238" s="26">
        <f>(IF(MOD((212/80*(C6+C7)),(C6+C7))&lt;C6,(C4*C8),(C5*C8)+((C4*C8)-(C5*C8))*EXP(-(MOD((212/80*(C6+C7)),(C6+C7))-C6)/(C9*C8))))*1000</f>
        <v/>
      </c>
      <c r="F238" s="25">
        <f>IF(AND(MOD((212/80*(C6+C7)),(C6+C7))&lt;C6,MOD((212/80*(C6+C7)),(C6+C7))&lt;C12),-ABS(C11)*SIN(PI()*MOD((212/80*(C6+C7)),(C6+C7))/C12),0)</f>
        <v/>
      </c>
      <c r="G238" s="25">
        <f>C5*(C10/(C8+C10))+(E238/1000)/C10+F238</f>
        <v/>
      </c>
      <c r="H238" s="25">
        <f>C238-G238</f>
        <v/>
      </c>
      <c r="I238" s="25">
        <f>C5+(E238/1000)/C8</f>
        <v/>
      </c>
    </row>
    <row r="239" ht="12.95" customHeight="1" s="44">
      <c r="B239" s="27">
        <f>(213/80*(C6+C7))</f>
        <v/>
      </c>
      <c r="C239" s="27">
        <f>IF(MOD((213/80*(C6+C7)),(C6+C7))&lt;C6,C4,C5)</f>
        <v/>
      </c>
      <c r="D239" s="27">
        <f>IF(MOD((213/80*(C6+C7)),(C6+C7))&lt;C6,0,-((C4*C8)-(C5*C8))/(C9*C8)*EXP(-(MOD((213/80*(C6+C7)),(C6+C7))-C6)/(C9*C8))*60)</f>
        <v/>
      </c>
      <c r="E239" s="28">
        <f>(IF(MOD((213/80*(C6+C7)),(C6+C7))&lt;C6,(C4*C8),(C5*C8)+((C4*C8)-(C5*C8))*EXP(-(MOD((213/80*(C6+C7)),(C6+C7))-C6)/(C9*C8))))*1000</f>
        <v/>
      </c>
      <c r="F239" s="27">
        <f>IF(AND(MOD((213/80*(C6+C7)),(C6+C7))&lt;C6,MOD((213/80*(C6+C7)),(C6+C7))&lt;C12),-ABS(C11)*SIN(PI()*MOD((213/80*(C6+C7)),(C6+C7))/C12),0)</f>
        <v/>
      </c>
      <c r="G239" s="27">
        <f>C5*(C10/(C8+C10))+(E239/1000)/C10+F239</f>
        <v/>
      </c>
      <c r="H239" s="27">
        <f>C239-G239</f>
        <v/>
      </c>
      <c r="I239" s="27">
        <f>C5+(E239/1000)/C8</f>
        <v/>
      </c>
    </row>
    <row r="240" ht="12.95" customHeight="1" s="44">
      <c r="B240" s="25">
        <f>(214/80*(C6+C7))</f>
        <v/>
      </c>
      <c r="C240" s="25">
        <f>IF(MOD((214/80*(C6+C7)),(C6+C7))&lt;C6,C4,C5)</f>
        <v/>
      </c>
      <c r="D240" s="25">
        <f>IF(MOD((214/80*(C6+C7)),(C6+C7))&lt;C6,0,-((C4*C8)-(C5*C8))/(C9*C8)*EXP(-(MOD((214/80*(C6+C7)),(C6+C7))-C6)/(C9*C8))*60)</f>
        <v/>
      </c>
      <c r="E240" s="26">
        <f>(IF(MOD((214/80*(C6+C7)),(C6+C7))&lt;C6,(C4*C8),(C5*C8)+((C4*C8)-(C5*C8))*EXP(-(MOD((214/80*(C6+C7)),(C6+C7))-C6)/(C9*C8))))*1000</f>
        <v/>
      </c>
      <c r="F240" s="25">
        <f>IF(AND(MOD((214/80*(C6+C7)),(C6+C7))&lt;C6,MOD((214/80*(C6+C7)),(C6+C7))&lt;C12),-ABS(C11)*SIN(PI()*MOD((214/80*(C6+C7)),(C6+C7))/C12),0)</f>
        <v/>
      </c>
      <c r="G240" s="25">
        <f>C5*(C10/(C8+C10))+(E240/1000)/C10+F240</f>
        <v/>
      </c>
      <c r="H240" s="25">
        <f>C240-G240</f>
        <v/>
      </c>
      <c r="I240" s="25">
        <f>C5+(E240/1000)/C8</f>
        <v/>
      </c>
    </row>
    <row r="241" ht="12.95" customHeight="1" s="44">
      <c r="B241" s="27">
        <f>(215/80*(C6+C7))</f>
        <v/>
      </c>
      <c r="C241" s="27">
        <f>IF(MOD((215/80*(C6+C7)),(C6+C7))&lt;C6,C4,C5)</f>
        <v/>
      </c>
      <c r="D241" s="27">
        <f>IF(MOD((215/80*(C6+C7)),(C6+C7))&lt;C6,0,-((C4*C8)-(C5*C8))/(C9*C8)*EXP(-(MOD((215/80*(C6+C7)),(C6+C7))-C6)/(C9*C8))*60)</f>
        <v/>
      </c>
      <c r="E241" s="28">
        <f>(IF(MOD((215/80*(C6+C7)),(C6+C7))&lt;C6,(C4*C8),(C5*C8)+((C4*C8)-(C5*C8))*EXP(-(MOD((215/80*(C6+C7)),(C6+C7))-C6)/(C9*C8))))*1000</f>
        <v/>
      </c>
      <c r="F241" s="27">
        <f>IF(AND(MOD((215/80*(C6+C7)),(C6+C7))&lt;C6,MOD((215/80*(C6+C7)),(C6+C7))&lt;C12),-ABS(C11)*SIN(PI()*MOD((215/80*(C6+C7)),(C6+C7))/C12),0)</f>
        <v/>
      </c>
      <c r="G241" s="27">
        <f>C5*(C10/(C8+C10))+(E241/1000)/C10+F241</f>
        <v/>
      </c>
      <c r="H241" s="27">
        <f>C241-G241</f>
        <v/>
      </c>
      <c r="I241" s="27">
        <f>C5+(E241/1000)/C8</f>
        <v/>
      </c>
    </row>
    <row r="242" ht="12.95" customHeight="1" s="44">
      <c r="B242" s="25">
        <f>(216/80*(C6+C7))</f>
        <v/>
      </c>
      <c r="C242" s="25">
        <f>IF(MOD((216/80*(C6+C7)),(C6+C7))&lt;C6,C4,C5)</f>
        <v/>
      </c>
      <c r="D242" s="25">
        <f>IF(MOD((216/80*(C6+C7)),(C6+C7))&lt;C6,0,-((C4*C8)-(C5*C8))/(C9*C8)*EXP(-(MOD((216/80*(C6+C7)),(C6+C7))-C6)/(C9*C8))*60)</f>
        <v/>
      </c>
      <c r="E242" s="26">
        <f>(IF(MOD((216/80*(C6+C7)),(C6+C7))&lt;C6,(C4*C8),(C5*C8)+((C4*C8)-(C5*C8))*EXP(-(MOD((216/80*(C6+C7)),(C6+C7))-C6)/(C9*C8))))*1000</f>
        <v/>
      </c>
      <c r="F242" s="25">
        <f>IF(AND(MOD((216/80*(C6+C7)),(C6+C7))&lt;C6,MOD((216/80*(C6+C7)),(C6+C7))&lt;C12),-ABS(C11)*SIN(PI()*MOD((216/80*(C6+C7)),(C6+C7))/C12),0)</f>
        <v/>
      </c>
      <c r="G242" s="25">
        <f>C5*(C10/(C8+C10))+(E242/1000)/C10+F242</f>
        <v/>
      </c>
      <c r="H242" s="25">
        <f>C242-G242</f>
        <v/>
      </c>
      <c r="I242" s="25">
        <f>C5+(E242/1000)/C8</f>
        <v/>
      </c>
    </row>
    <row r="243" ht="12.95" customHeight="1" s="44">
      <c r="B243" s="27">
        <f>(217/80*(C6+C7))</f>
        <v/>
      </c>
      <c r="C243" s="27">
        <f>IF(MOD((217/80*(C6+C7)),(C6+C7))&lt;C6,C4,C5)</f>
        <v/>
      </c>
      <c r="D243" s="27">
        <f>IF(MOD((217/80*(C6+C7)),(C6+C7))&lt;C6,0,-((C4*C8)-(C5*C8))/(C9*C8)*EXP(-(MOD((217/80*(C6+C7)),(C6+C7))-C6)/(C9*C8))*60)</f>
        <v/>
      </c>
      <c r="E243" s="28">
        <f>(IF(MOD((217/80*(C6+C7)),(C6+C7))&lt;C6,(C4*C8),(C5*C8)+((C4*C8)-(C5*C8))*EXP(-(MOD((217/80*(C6+C7)),(C6+C7))-C6)/(C9*C8))))*1000</f>
        <v/>
      </c>
      <c r="F243" s="27">
        <f>IF(AND(MOD((217/80*(C6+C7)),(C6+C7))&lt;C6,MOD((217/80*(C6+C7)),(C6+C7))&lt;C12),-ABS(C11)*SIN(PI()*MOD((217/80*(C6+C7)),(C6+C7))/C12),0)</f>
        <v/>
      </c>
      <c r="G243" s="27">
        <f>C5*(C10/(C8+C10))+(E243/1000)/C10+F243</f>
        <v/>
      </c>
      <c r="H243" s="27">
        <f>C243-G243</f>
        <v/>
      </c>
      <c r="I243" s="27">
        <f>C5+(E243/1000)/C8</f>
        <v/>
      </c>
    </row>
    <row r="244" ht="12.95" customHeight="1" s="44">
      <c r="B244" s="25">
        <f>(218/80*(C6+C7))</f>
        <v/>
      </c>
      <c r="C244" s="25">
        <f>IF(MOD((218/80*(C6+C7)),(C6+C7))&lt;C6,C4,C5)</f>
        <v/>
      </c>
      <c r="D244" s="25">
        <f>IF(MOD((218/80*(C6+C7)),(C6+C7))&lt;C6,0,-((C4*C8)-(C5*C8))/(C9*C8)*EXP(-(MOD((218/80*(C6+C7)),(C6+C7))-C6)/(C9*C8))*60)</f>
        <v/>
      </c>
      <c r="E244" s="26">
        <f>(IF(MOD((218/80*(C6+C7)),(C6+C7))&lt;C6,(C4*C8),(C5*C8)+((C4*C8)-(C5*C8))*EXP(-(MOD((218/80*(C6+C7)),(C6+C7))-C6)/(C9*C8))))*1000</f>
        <v/>
      </c>
      <c r="F244" s="25">
        <f>IF(AND(MOD((218/80*(C6+C7)),(C6+C7))&lt;C6,MOD((218/80*(C6+C7)),(C6+C7))&lt;C12),-ABS(C11)*SIN(PI()*MOD((218/80*(C6+C7)),(C6+C7))/C12),0)</f>
        <v/>
      </c>
      <c r="G244" s="25">
        <f>C5*(C10/(C8+C10))+(E244/1000)/C10+F244</f>
        <v/>
      </c>
      <c r="H244" s="25">
        <f>C244-G244</f>
        <v/>
      </c>
      <c r="I244" s="25">
        <f>C5+(E244/1000)/C8</f>
        <v/>
      </c>
    </row>
    <row r="245" ht="12.95" customHeight="1" s="44">
      <c r="B245" s="27">
        <f>(219/80*(C6+C7))</f>
        <v/>
      </c>
      <c r="C245" s="27">
        <f>IF(MOD((219/80*(C6+C7)),(C6+C7))&lt;C6,C4,C5)</f>
        <v/>
      </c>
      <c r="D245" s="27">
        <f>IF(MOD((219/80*(C6+C7)),(C6+C7))&lt;C6,0,-((C4*C8)-(C5*C8))/(C9*C8)*EXP(-(MOD((219/80*(C6+C7)),(C6+C7))-C6)/(C9*C8))*60)</f>
        <v/>
      </c>
      <c r="E245" s="28">
        <f>(IF(MOD((219/80*(C6+C7)),(C6+C7))&lt;C6,(C4*C8),(C5*C8)+((C4*C8)-(C5*C8))*EXP(-(MOD((219/80*(C6+C7)),(C6+C7))-C6)/(C9*C8))))*1000</f>
        <v/>
      </c>
      <c r="F245" s="27">
        <f>IF(AND(MOD((219/80*(C6+C7)),(C6+C7))&lt;C6,MOD((219/80*(C6+C7)),(C6+C7))&lt;C12),-ABS(C11)*SIN(PI()*MOD((219/80*(C6+C7)),(C6+C7))/C12),0)</f>
        <v/>
      </c>
      <c r="G245" s="27">
        <f>C5*(C10/(C8+C10))+(E245/1000)/C10+F245</f>
        <v/>
      </c>
      <c r="H245" s="27">
        <f>C245-G245</f>
        <v/>
      </c>
      <c r="I245" s="27">
        <f>C5+(E245/1000)/C8</f>
        <v/>
      </c>
    </row>
    <row r="246" ht="12.95" customHeight="1" s="44">
      <c r="B246" s="25">
        <f>(220/80*(C6+C7))</f>
        <v/>
      </c>
      <c r="C246" s="25">
        <f>IF(MOD((220/80*(C6+C7)),(C6+C7))&lt;C6,C4,C5)</f>
        <v/>
      </c>
      <c r="D246" s="25">
        <f>IF(MOD((220/80*(C6+C7)),(C6+C7))&lt;C6,0,-((C4*C8)-(C5*C8))/(C9*C8)*EXP(-(MOD((220/80*(C6+C7)),(C6+C7))-C6)/(C9*C8))*60)</f>
        <v/>
      </c>
      <c r="E246" s="26">
        <f>(IF(MOD((220/80*(C6+C7)),(C6+C7))&lt;C6,(C4*C8),(C5*C8)+((C4*C8)-(C5*C8))*EXP(-(MOD((220/80*(C6+C7)),(C6+C7))-C6)/(C9*C8))))*1000</f>
        <v/>
      </c>
      <c r="F246" s="25">
        <f>IF(AND(MOD((220/80*(C6+C7)),(C6+C7))&lt;C6,MOD((220/80*(C6+C7)),(C6+C7))&lt;C12),-ABS(C11)*SIN(PI()*MOD((220/80*(C6+C7)),(C6+C7))/C12),0)</f>
        <v/>
      </c>
      <c r="G246" s="25">
        <f>C5*(C10/(C8+C10))+(E246/1000)/C10+F246</f>
        <v/>
      </c>
      <c r="H246" s="25">
        <f>C246-G246</f>
        <v/>
      </c>
      <c r="I246" s="25">
        <f>C5+(E246/1000)/C8</f>
        <v/>
      </c>
    </row>
    <row r="247" ht="12.95" customHeight="1" s="44">
      <c r="B247" s="27">
        <f>(221/80*(C6+C7))</f>
        <v/>
      </c>
      <c r="C247" s="27">
        <f>IF(MOD((221/80*(C6+C7)),(C6+C7))&lt;C6,C4,C5)</f>
        <v/>
      </c>
      <c r="D247" s="27">
        <f>IF(MOD((221/80*(C6+C7)),(C6+C7))&lt;C6,0,-((C4*C8)-(C5*C8))/(C9*C8)*EXP(-(MOD((221/80*(C6+C7)),(C6+C7))-C6)/(C9*C8))*60)</f>
        <v/>
      </c>
      <c r="E247" s="28">
        <f>(IF(MOD((221/80*(C6+C7)),(C6+C7))&lt;C6,(C4*C8),(C5*C8)+((C4*C8)-(C5*C8))*EXP(-(MOD((221/80*(C6+C7)),(C6+C7))-C6)/(C9*C8))))*1000</f>
        <v/>
      </c>
      <c r="F247" s="27">
        <f>IF(AND(MOD((221/80*(C6+C7)),(C6+C7))&lt;C6,MOD((221/80*(C6+C7)),(C6+C7))&lt;C12),-ABS(C11)*SIN(PI()*MOD((221/80*(C6+C7)),(C6+C7))/C12),0)</f>
        <v/>
      </c>
      <c r="G247" s="27">
        <f>C5*(C10/(C8+C10))+(E247/1000)/C10+F247</f>
        <v/>
      </c>
      <c r="H247" s="27">
        <f>C247-G247</f>
        <v/>
      </c>
      <c r="I247" s="27">
        <f>C5+(E247/1000)/C8</f>
        <v/>
      </c>
    </row>
    <row r="248" ht="12.95" customHeight="1" s="44">
      <c r="B248" s="25">
        <f>(222/80*(C6+C7))</f>
        <v/>
      </c>
      <c r="C248" s="25">
        <f>IF(MOD((222/80*(C6+C7)),(C6+C7))&lt;C6,C4,C5)</f>
        <v/>
      </c>
      <c r="D248" s="25">
        <f>IF(MOD((222/80*(C6+C7)),(C6+C7))&lt;C6,0,-((C4*C8)-(C5*C8))/(C9*C8)*EXP(-(MOD((222/80*(C6+C7)),(C6+C7))-C6)/(C9*C8))*60)</f>
        <v/>
      </c>
      <c r="E248" s="26">
        <f>(IF(MOD((222/80*(C6+C7)),(C6+C7))&lt;C6,(C4*C8),(C5*C8)+((C4*C8)-(C5*C8))*EXP(-(MOD((222/80*(C6+C7)),(C6+C7))-C6)/(C9*C8))))*1000</f>
        <v/>
      </c>
      <c r="F248" s="25">
        <f>IF(AND(MOD((222/80*(C6+C7)),(C6+C7))&lt;C6,MOD((222/80*(C6+C7)),(C6+C7))&lt;C12),-ABS(C11)*SIN(PI()*MOD((222/80*(C6+C7)),(C6+C7))/C12),0)</f>
        <v/>
      </c>
      <c r="G248" s="25">
        <f>C5*(C10/(C8+C10))+(E248/1000)/C10+F248</f>
        <v/>
      </c>
      <c r="H248" s="25">
        <f>C248-G248</f>
        <v/>
      </c>
      <c r="I248" s="25">
        <f>C5+(E248/1000)/C8</f>
        <v/>
      </c>
    </row>
    <row r="249" ht="12.95" customHeight="1" s="44">
      <c r="B249" s="27">
        <f>(223/80*(C6+C7))</f>
        <v/>
      </c>
      <c r="C249" s="27">
        <f>IF(MOD((223/80*(C6+C7)),(C6+C7))&lt;C6,C4,C5)</f>
        <v/>
      </c>
      <c r="D249" s="27">
        <f>IF(MOD((223/80*(C6+C7)),(C6+C7))&lt;C6,0,-((C4*C8)-(C5*C8))/(C9*C8)*EXP(-(MOD((223/80*(C6+C7)),(C6+C7))-C6)/(C9*C8))*60)</f>
        <v/>
      </c>
      <c r="E249" s="28">
        <f>(IF(MOD((223/80*(C6+C7)),(C6+C7))&lt;C6,(C4*C8),(C5*C8)+((C4*C8)-(C5*C8))*EXP(-(MOD((223/80*(C6+C7)),(C6+C7))-C6)/(C9*C8))))*1000</f>
        <v/>
      </c>
      <c r="F249" s="27">
        <f>IF(AND(MOD((223/80*(C6+C7)),(C6+C7))&lt;C6,MOD((223/80*(C6+C7)),(C6+C7))&lt;C12),-ABS(C11)*SIN(PI()*MOD((223/80*(C6+C7)),(C6+C7))/C12),0)</f>
        <v/>
      </c>
      <c r="G249" s="27">
        <f>C5*(C10/(C8+C10))+(E249/1000)/C10+F249</f>
        <v/>
      </c>
      <c r="H249" s="27">
        <f>C249-G249</f>
        <v/>
      </c>
      <c r="I249" s="27">
        <f>C5+(E249/1000)/C8</f>
        <v/>
      </c>
    </row>
    <row r="250" ht="12.95" customHeight="1" s="44">
      <c r="B250" s="25">
        <f>(224/80*(C6+C7))</f>
        <v/>
      </c>
      <c r="C250" s="25">
        <f>IF(MOD((224/80*(C6+C7)),(C6+C7))&lt;C6,C4,C5)</f>
        <v/>
      </c>
      <c r="D250" s="25">
        <f>IF(MOD((224/80*(C6+C7)),(C6+C7))&lt;C6,0,-((C4*C8)-(C5*C8))/(C9*C8)*EXP(-(MOD((224/80*(C6+C7)),(C6+C7))-C6)/(C9*C8))*60)</f>
        <v/>
      </c>
      <c r="E250" s="26">
        <f>(IF(MOD((224/80*(C6+C7)),(C6+C7))&lt;C6,(C4*C8),(C5*C8)+((C4*C8)-(C5*C8))*EXP(-(MOD((224/80*(C6+C7)),(C6+C7))-C6)/(C9*C8))))*1000</f>
        <v/>
      </c>
      <c r="F250" s="25">
        <f>IF(AND(MOD((224/80*(C6+C7)),(C6+C7))&lt;C6,MOD((224/80*(C6+C7)),(C6+C7))&lt;C12),-ABS(C11)*SIN(PI()*MOD((224/80*(C6+C7)),(C6+C7))/C12),0)</f>
        <v/>
      </c>
      <c r="G250" s="25">
        <f>C5*(C10/(C8+C10))+(E250/1000)/C10+F250</f>
        <v/>
      </c>
      <c r="H250" s="25">
        <f>C250-G250</f>
        <v/>
      </c>
      <c r="I250" s="25">
        <f>C5+(E250/1000)/C8</f>
        <v/>
      </c>
    </row>
    <row r="251" ht="12.95" customHeight="1" s="44">
      <c r="B251" s="27">
        <f>(225/80*(C6+C7))</f>
        <v/>
      </c>
      <c r="C251" s="27">
        <f>IF(MOD((225/80*(C6+C7)),(C6+C7))&lt;C6,C4,C5)</f>
        <v/>
      </c>
      <c r="D251" s="27">
        <f>IF(MOD((225/80*(C6+C7)),(C6+C7))&lt;C6,0,-((C4*C8)-(C5*C8))/(C9*C8)*EXP(-(MOD((225/80*(C6+C7)),(C6+C7))-C6)/(C9*C8))*60)</f>
        <v/>
      </c>
      <c r="E251" s="28">
        <f>(IF(MOD((225/80*(C6+C7)),(C6+C7))&lt;C6,(C4*C8),(C5*C8)+((C4*C8)-(C5*C8))*EXP(-(MOD((225/80*(C6+C7)),(C6+C7))-C6)/(C9*C8))))*1000</f>
        <v/>
      </c>
      <c r="F251" s="27">
        <f>IF(AND(MOD((225/80*(C6+C7)),(C6+C7))&lt;C6,MOD((225/80*(C6+C7)),(C6+C7))&lt;C12),-ABS(C11)*SIN(PI()*MOD((225/80*(C6+C7)),(C6+C7))/C12),0)</f>
        <v/>
      </c>
      <c r="G251" s="27">
        <f>C5*(C10/(C8+C10))+(E251/1000)/C10+F251</f>
        <v/>
      </c>
      <c r="H251" s="27">
        <f>C251-G251</f>
        <v/>
      </c>
      <c r="I251" s="27">
        <f>C5+(E251/1000)/C8</f>
        <v/>
      </c>
    </row>
    <row r="252" ht="12.95" customHeight="1" s="44">
      <c r="B252" s="25">
        <f>(226/80*(C6+C7))</f>
        <v/>
      </c>
      <c r="C252" s="25">
        <f>IF(MOD((226/80*(C6+C7)),(C6+C7))&lt;C6,C4,C5)</f>
        <v/>
      </c>
      <c r="D252" s="25">
        <f>IF(MOD((226/80*(C6+C7)),(C6+C7))&lt;C6,0,-((C4*C8)-(C5*C8))/(C9*C8)*EXP(-(MOD((226/80*(C6+C7)),(C6+C7))-C6)/(C9*C8))*60)</f>
        <v/>
      </c>
      <c r="E252" s="26">
        <f>(IF(MOD((226/80*(C6+C7)),(C6+C7))&lt;C6,(C4*C8),(C5*C8)+((C4*C8)-(C5*C8))*EXP(-(MOD((226/80*(C6+C7)),(C6+C7))-C6)/(C9*C8))))*1000</f>
        <v/>
      </c>
      <c r="F252" s="25">
        <f>IF(AND(MOD((226/80*(C6+C7)),(C6+C7))&lt;C6,MOD((226/80*(C6+C7)),(C6+C7))&lt;C12),-ABS(C11)*SIN(PI()*MOD((226/80*(C6+C7)),(C6+C7))/C12),0)</f>
        <v/>
      </c>
      <c r="G252" s="25">
        <f>C5*(C10/(C8+C10))+(E252/1000)/C10+F252</f>
        <v/>
      </c>
      <c r="H252" s="25">
        <f>C252-G252</f>
        <v/>
      </c>
      <c r="I252" s="25">
        <f>C5+(E252/1000)/C8</f>
        <v/>
      </c>
    </row>
    <row r="253" ht="12.95" customHeight="1" s="44">
      <c r="B253" s="27">
        <f>(227/80*(C6+C7))</f>
        <v/>
      </c>
      <c r="C253" s="27">
        <f>IF(MOD((227/80*(C6+C7)),(C6+C7))&lt;C6,C4,C5)</f>
        <v/>
      </c>
      <c r="D253" s="27">
        <f>IF(MOD((227/80*(C6+C7)),(C6+C7))&lt;C6,0,-((C4*C8)-(C5*C8))/(C9*C8)*EXP(-(MOD((227/80*(C6+C7)),(C6+C7))-C6)/(C9*C8))*60)</f>
        <v/>
      </c>
      <c r="E253" s="28">
        <f>(IF(MOD((227/80*(C6+C7)),(C6+C7))&lt;C6,(C4*C8),(C5*C8)+((C4*C8)-(C5*C8))*EXP(-(MOD((227/80*(C6+C7)),(C6+C7))-C6)/(C9*C8))))*1000</f>
        <v/>
      </c>
      <c r="F253" s="27">
        <f>IF(AND(MOD((227/80*(C6+C7)),(C6+C7))&lt;C6,MOD((227/80*(C6+C7)),(C6+C7))&lt;C12),-ABS(C11)*SIN(PI()*MOD((227/80*(C6+C7)),(C6+C7))/C12),0)</f>
        <v/>
      </c>
      <c r="G253" s="27">
        <f>C5*(C10/(C8+C10))+(E253/1000)/C10+F253</f>
        <v/>
      </c>
      <c r="H253" s="27">
        <f>C253-G253</f>
        <v/>
      </c>
      <c r="I253" s="27">
        <f>C5+(E253/1000)/C8</f>
        <v/>
      </c>
    </row>
    <row r="254" ht="12.95" customHeight="1" s="44">
      <c r="B254" s="25">
        <f>(228/80*(C6+C7))</f>
        <v/>
      </c>
      <c r="C254" s="25">
        <f>IF(MOD((228/80*(C6+C7)),(C6+C7))&lt;C6,C4,C5)</f>
        <v/>
      </c>
      <c r="D254" s="25">
        <f>IF(MOD((228/80*(C6+C7)),(C6+C7))&lt;C6,0,-((C4*C8)-(C5*C8))/(C9*C8)*EXP(-(MOD((228/80*(C6+C7)),(C6+C7))-C6)/(C9*C8))*60)</f>
        <v/>
      </c>
      <c r="E254" s="26">
        <f>(IF(MOD((228/80*(C6+C7)),(C6+C7))&lt;C6,(C4*C8),(C5*C8)+((C4*C8)-(C5*C8))*EXP(-(MOD((228/80*(C6+C7)),(C6+C7))-C6)/(C9*C8))))*1000</f>
        <v/>
      </c>
      <c r="F254" s="25">
        <f>IF(AND(MOD((228/80*(C6+C7)),(C6+C7))&lt;C6,MOD((228/80*(C6+C7)),(C6+C7))&lt;C12),-ABS(C11)*SIN(PI()*MOD((228/80*(C6+C7)),(C6+C7))/C12),0)</f>
        <v/>
      </c>
      <c r="G254" s="25">
        <f>C5*(C10/(C8+C10))+(E254/1000)/C10+F254</f>
        <v/>
      </c>
      <c r="H254" s="25">
        <f>C254-G254</f>
        <v/>
      </c>
      <c r="I254" s="25">
        <f>C5+(E254/1000)/C8</f>
        <v/>
      </c>
    </row>
    <row r="255" ht="12.95" customHeight="1" s="44">
      <c r="B255" s="27">
        <f>(229/80*(C6+C7))</f>
        <v/>
      </c>
      <c r="C255" s="27">
        <f>IF(MOD((229/80*(C6+C7)),(C6+C7))&lt;C6,C4,C5)</f>
        <v/>
      </c>
      <c r="D255" s="27">
        <f>IF(MOD((229/80*(C6+C7)),(C6+C7))&lt;C6,0,-((C4*C8)-(C5*C8))/(C9*C8)*EXP(-(MOD((229/80*(C6+C7)),(C6+C7))-C6)/(C9*C8))*60)</f>
        <v/>
      </c>
      <c r="E255" s="28">
        <f>(IF(MOD((229/80*(C6+C7)),(C6+C7))&lt;C6,(C4*C8),(C5*C8)+((C4*C8)-(C5*C8))*EXP(-(MOD((229/80*(C6+C7)),(C6+C7))-C6)/(C9*C8))))*1000</f>
        <v/>
      </c>
      <c r="F255" s="27">
        <f>IF(AND(MOD((229/80*(C6+C7)),(C6+C7))&lt;C6,MOD((229/80*(C6+C7)),(C6+C7))&lt;C12),-ABS(C11)*SIN(PI()*MOD((229/80*(C6+C7)),(C6+C7))/C12),0)</f>
        <v/>
      </c>
      <c r="G255" s="27">
        <f>C5*(C10/(C8+C10))+(E255/1000)/C10+F255</f>
        <v/>
      </c>
      <c r="H255" s="27">
        <f>C255-G255</f>
        <v/>
      </c>
      <c r="I255" s="27">
        <f>C5+(E255/1000)/C8</f>
        <v/>
      </c>
    </row>
    <row r="256" ht="12.95" customHeight="1" s="44">
      <c r="B256" s="25">
        <f>(230/80*(C6+C7))</f>
        <v/>
      </c>
      <c r="C256" s="25">
        <f>IF(MOD((230/80*(C6+C7)),(C6+C7))&lt;C6,C4,C5)</f>
        <v/>
      </c>
      <c r="D256" s="25">
        <f>IF(MOD((230/80*(C6+C7)),(C6+C7))&lt;C6,0,-((C4*C8)-(C5*C8))/(C9*C8)*EXP(-(MOD((230/80*(C6+C7)),(C6+C7))-C6)/(C9*C8))*60)</f>
        <v/>
      </c>
      <c r="E256" s="26">
        <f>(IF(MOD((230/80*(C6+C7)),(C6+C7))&lt;C6,(C4*C8),(C5*C8)+((C4*C8)-(C5*C8))*EXP(-(MOD((230/80*(C6+C7)),(C6+C7))-C6)/(C9*C8))))*1000</f>
        <v/>
      </c>
      <c r="F256" s="25">
        <f>IF(AND(MOD((230/80*(C6+C7)),(C6+C7))&lt;C6,MOD((230/80*(C6+C7)),(C6+C7))&lt;C12),-ABS(C11)*SIN(PI()*MOD((230/80*(C6+C7)),(C6+C7))/C12),0)</f>
        <v/>
      </c>
      <c r="G256" s="25">
        <f>C5*(C10/(C8+C10))+(E256/1000)/C10+F256</f>
        <v/>
      </c>
      <c r="H256" s="25">
        <f>C256-G256</f>
        <v/>
      </c>
      <c r="I256" s="25">
        <f>C5+(E256/1000)/C8</f>
        <v/>
      </c>
    </row>
    <row r="257" ht="12.95" customHeight="1" s="44">
      <c r="B257" s="27">
        <f>(231/80*(C6+C7))</f>
        <v/>
      </c>
      <c r="C257" s="27">
        <f>IF(MOD((231/80*(C6+C7)),(C6+C7))&lt;C6,C4,C5)</f>
        <v/>
      </c>
      <c r="D257" s="27">
        <f>IF(MOD((231/80*(C6+C7)),(C6+C7))&lt;C6,0,-((C4*C8)-(C5*C8))/(C9*C8)*EXP(-(MOD((231/80*(C6+C7)),(C6+C7))-C6)/(C9*C8))*60)</f>
        <v/>
      </c>
      <c r="E257" s="28">
        <f>(IF(MOD((231/80*(C6+C7)),(C6+C7))&lt;C6,(C4*C8),(C5*C8)+((C4*C8)-(C5*C8))*EXP(-(MOD((231/80*(C6+C7)),(C6+C7))-C6)/(C9*C8))))*1000</f>
        <v/>
      </c>
      <c r="F257" s="27">
        <f>IF(AND(MOD((231/80*(C6+C7)),(C6+C7))&lt;C6,MOD((231/80*(C6+C7)),(C6+C7))&lt;C12),-ABS(C11)*SIN(PI()*MOD((231/80*(C6+C7)),(C6+C7))/C12),0)</f>
        <v/>
      </c>
      <c r="G257" s="27">
        <f>C5*(C10/(C8+C10))+(E257/1000)/C10+F257</f>
        <v/>
      </c>
      <c r="H257" s="27">
        <f>C257-G257</f>
        <v/>
      </c>
      <c r="I257" s="27">
        <f>C5+(E257/1000)/C8</f>
        <v/>
      </c>
    </row>
    <row r="258" ht="12.95" customHeight="1" s="44">
      <c r="B258" s="25">
        <f>(232/80*(C6+C7))</f>
        <v/>
      </c>
      <c r="C258" s="25">
        <f>IF(MOD((232/80*(C6+C7)),(C6+C7))&lt;C6,C4,C5)</f>
        <v/>
      </c>
      <c r="D258" s="25">
        <f>IF(MOD((232/80*(C6+C7)),(C6+C7))&lt;C6,0,-((C4*C8)-(C5*C8))/(C9*C8)*EXP(-(MOD((232/80*(C6+C7)),(C6+C7))-C6)/(C9*C8))*60)</f>
        <v/>
      </c>
      <c r="E258" s="26">
        <f>(IF(MOD((232/80*(C6+C7)),(C6+C7))&lt;C6,(C4*C8),(C5*C8)+((C4*C8)-(C5*C8))*EXP(-(MOD((232/80*(C6+C7)),(C6+C7))-C6)/(C9*C8))))*1000</f>
        <v/>
      </c>
      <c r="F258" s="25">
        <f>IF(AND(MOD((232/80*(C6+C7)),(C6+C7))&lt;C6,MOD((232/80*(C6+C7)),(C6+C7))&lt;C12),-ABS(C11)*SIN(PI()*MOD((232/80*(C6+C7)),(C6+C7))/C12),0)</f>
        <v/>
      </c>
      <c r="G258" s="25">
        <f>C5*(C10/(C8+C10))+(E258/1000)/C10+F258</f>
        <v/>
      </c>
      <c r="H258" s="25">
        <f>C258-G258</f>
        <v/>
      </c>
      <c r="I258" s="25">
        <f>C5+(E258/1000)/C8</f>
        <v/>
      </c>
    </row>
    <row r="259" ht="12.95" customHeight="1" s="44">
      <c r="B259" s="27">
        <f>(233/80*(C6+C7))</f>
        <v/>
      </c>
      <c r="C259" s="27">
        <f>IF(MOD((233/80*(C6+C7)),(C6+C7))&lt;C6,C4,C5)</f>
        <v/>
      </c>
      <c r="D259" s="27">
        <f>IF(MOD((233/80*(C6+C7)),(C6+C7))&lt;C6,0,-((C4*C8)-(C5*C8))/(C9*C8)*EXP(-(MOD((233/80*(C6+C7)),(C6+C7))-C6)/(C9*C8))*60)</f>
        <v/>
      </c>
      <c r="E259" s="28">
        <f>(IF(MOD((233/80*(C6+C7)),(C6+C7))&lt;C6,(C4*C8),(C5*C8)+((C4*C8)-(C5*C8))*EXP(-(MOD((233/80*(C6+C7)),(C6+C7))-C6)/(C9*C8))))*1000</f>
        <v/>
      </c>
      <c r="F259" s="27">
        <f>IF(AND(MOD((233/80*(C6+C7)),(C6+C7))&lt;C6,MOD((233/80*(C6+C7)),(C6+C7))&lt;C12),-ABS(C11)*SIN(PI()*MOD((233/80*(C6+C7)),(C6+C7))/C12),0)</f>
        <v/>
      </c>
      <c r="G259" s="27">
        <f>C5*(C10/(C8+C10))+(E259/1000)/C10+F259</f>
        <v/>
      </c>
      <c r="H259" s="27">
        <f>C259-G259</f>
        <v/>
      </c>
      <c r="I259" s="27">
        <f>C5+(E259/1000)/C8</f>
        <v/>
      </c>
    </row>
    <row r="260" ht="12.95" customHeight="1" s="44">
      <c r="B260" s="25">
        <f>(234/80*(C6+C7))</f>
        <v/>
      </c>
      <c r="C260" s="25">
        <f>IF(MOD((234/80*(C6+C7)),(C6+C7))&lt;C6,C4,C5)</f>
        <v/>
      </c>
      <c r="D260" s="25">
        <f>IF(MOD((234/80*(C6+C7)),(C6+C7))&lt;C6,0,-((C4*C8)-(C5*C8))/(C9*C8)*EXP(-(MOD((234/80*(C6+C7)),(C6+C7))-C6)/(C9*C8))*60)</f>
        <v/>
      </c>
      <c r="E260" s="26">
        <f>(IF(MOD((234/80*(C6+C7)),(C6+C7))&lt;C6,(C4*C8),(C5*C8)+((C4*C8)-(C5*C8))*EXP(-(MOD((234/80*(C6+C7)),(C6+C7))-C6)/(C9*C8))))*1000</f>
        <v/>
      </c>
      <c r="F260" s="25">
        <f>IF(AND(MOD((234/80*(C6+C7)),(C6+C7))&lt;C6,MOD((234/80*(C6+C7)),(C6+C7))&lt;C12),-ABS(C11)*SIN(PI()*MOD((234/80*(C6+C7)),(C6+C7))/C12),0)</f>
        <v/>
      </c>
      <c r="G260" s="25">
        <f>C5*(C10/(C8+C10))+(E260/1000)/C10+F260</f>
        <v/>
      </c>
      <c r="H260" s="25">
        <f>C260-G260</f>
        <v/>
      </c>
      <c r="I260" s="25">
        <f>C5+(E260/1000)/C8</f>
        <v/>
      </c>
    </row>
    <row r="261" ht="12.95" customHeight="1" s="44">
      <c r="B261" s="27">
        <f>(235/80*(C6+C7))</f>
        <v/>
      </c>
      <c r="C261" s="27">
        <f>IF(MOD((235/80*(C6+C7)),(C6+C7))&lt;C6,C4,C5)</f>
        <v/>
      </c>
      <c r="D261" s="27">
        <f>IF(MOD((235/80*(C6+C7)),(C6+C7))&lt;C6,0,-((C4*C8)-(C5*C8))/(C9*C8)*EXP(-(MOD((235/80*(C6+C7)),(C6+C7))-C6)/(C9*C8))*60)</f>
        <v/>
      </c>
      <c r="E261" s="28">
        <f>(IF(MOD((235/80*(C6+C7)),(C6+C7))&lt;C6,(C4*C8),(C5*C8)+((C4*C8)-(C5*C8))*EXP(-(MOD((235/80*(C6+C7)),(C6+C7))-C6)/(C9*C8))))*1000</f>
        <v/>
      </c>
      <c r="F261" s="27">
        <f>IF(AND(MOD((235/80*(C6+C7)),(C6+C7))&lt;C6,MOD((235/80*(C6+C7)),(C6+C7))&lt;C12),-ABS(C11)*SIN(PI()*MOD((235/80*(C6+C7)),(C6+C7))/C12),0)</f>
        <v/>
      </c>
      <c r="G261" s="27">
        <f>C5*(C10/(C8+C10))+(E261/1000)/C10+F261</f>
        <v/>
      </c>
      <c r="H261" s="27">
        <f>C261-G261</f>
        <v/>
      </c>
      <c r="I261" s="27">
        <f>C5+(E261/1000)/C8</f>
        <v/>
      </c>
    </row>
    <row r="262" ht="12.95" customHeight="1" s="44">
      <c r="B262" s="25">
        <f>(236/80*(C6+C7))</f>
        <v/>
      </c>
      <c r="C262" s="25">
        <f>IF(MOD((236/80*(C6+C7)),(C6+C7))&lt;C6,C4,C5)</f>
        <v/>
      </c>
      <c r="D262" s="25">
        <f>IF(MOD((236/80*(C6+C7)),(C6+C7))&lt;C6,0,-((C4*C8)-(C5*C8))/(C9*C8)*EXP(-(MOD((236/80*(C6+C7)),(C6+C7))-C6)/(C9*C8))*60)</f>
        <v/>
      </c>
      <c r="E262" s="26">
        <f>(IF(MOD((236/80*(C6+C7)),(C6+C7))&lt;C6,(C4*C8),(C5*C8)+((C4*C8)-(C5*C8))*EXP(-(MOD((236/80*(C6+C7)),(C6+C7))-C6)/(C9*C8))))*1000</f>
        <v/>
      </c>
      <c r="F262" s="25">
        <f>IF(AND(MOD((236/80*(C6+C7)),(C6+C7))&lt;C6,MOD((236/80*(C6+C7)),(C6+C7))&lt;C12),-ABS(C11)*SIN(PI()*MOD((236/80*(C6+C7)),(C6+C7))/C12),0)</f>
        <v/>
      </c>
      <c r="G262" s="25">
        <f>C5*(C10/(C8+C10))+(E262/1000)/C10+F262</f>
        <v/>
      </c>
      <c r="H262" s="25">
        <f>C262-G262</f>
        <v/>
      </c>
      <c r="I262" s="25">
        <f>C5+(E262/1000)/C8</f>
        <v/>
      </c>
    </row>
    <row r="263" ht="12.95" customHeight="1" s="44">
      <c r="B263" s="27">
        <f>(237/80*(C6+C7))</f>
        <v/>
      </c>
      <c r="C263" s="27">
        <f>IF(MOD((237/80*(C6+C7)),(C6+C7))&lt;C6,C4,C5)</f>
        <v/>
      </c>
      <c r="D263" s="27">
        <f>IF(MOD((237/80*(C6+C7)),(C6+C7))&lt;C6,0,-((C4*C8)-(C5*C8))/(C9*C8)*EXP(-(MOD((237/80*(C6+C7)),(C6+C7))-C6)/(C9*C8))*60)</f>
        <v/>
      </c>
      <c r="E263" s="28">
        <f>(IF(MOD((237/80*(C6+C7)),(C6+C7))&lt;C6,(C4*C8),(C5*C8)+((C4*C8)-(C5*C8))*EXP(-(MOD((237/80*(C6+C7)),(C6+C7))-C6)/(C9*C8))))*1000</f>
        <v/>
      </c>
      <c r="F263" s="27">
        <f>IF(AND(MOD((237/80*(C6+C7)),(C6+C7))&lt;C6,MOD((237/80*(C6+C7)),(C6+C7))&lt;C12),-ABS(C11)*SIN(PI()*MOD((237/80*(C6+C7)),(C6+C7))/C12),0)</f>
        <v/>
      </c>
      <c r="G263" s="27">
        <f>C5*(C10/(C8+C10))+(E263/1000)/C10+F263</f>
        <v/>
      </c>
      <c r="H263" s="27">
        <f>C263-G263</f>
        <v/>
      </c>
      <c r="I263" s="27">
        <f>C5+(E263/1000)/C8</f>
        <v/>
      </c>
    </row>
    <row r="264" ht="12.95" customHeight="1" s="44">
      <c r="B264" s="25">
        <f>(238/80*(C6+C7))</f>
        <v/>
      </c>
      <c r="C264" s="25">
        <f>IF(MOD((238/80*(C6+C7)),(C6+C7))&lt;C6,C4,C5)</f>
        <v/>
      </c>
      <c r="D264" s="25">
        <f>IF(MOD((238/80*(C6+C7)),(C6+C7))&lt;C6,0,-((C4*C8)-(C5*C8))/(C9*C8)*EXP(-(MOD((238/80*(C6+C7)),(C6+C7))-C6)/(C9*C8))*60)</f>
        <v/>
      </c>
      <c r="E264" s="26">
        <f>(IF(MOD((238/80*(C6+C7)),(C6+C7))&lt;C6,(C4*C8),(C5*C8)+((C4*C8)-(C5*C8))*EXP(-(MOD((238/80*(C6+C7)),(C6+C7))-C6)/(C9*C8))))*1000</f>
        <v/>
      </c>
      <c r="F264" s="25">
        <f>IF(AND(MOD((238/80*(C6+C7)),(C6+C7))&lt;C6,MOD((238/80*(C6+C7)),(C6+C7))&lt;C12),-ABS(C11)*SIN(PI()*MOD((238/80*(C6+C7)),(C6+C7))/C12),0)</f>
        <v/>
      </c>
      <c r="G264" s="25">
        <f>C5*(C10/(C8+C10))+(E264/1000)/C10+F264</f>
        <v/>
      </c>
      <c r="H264" s="25">
        <f>C264-G264</f>
        <v/>
      </c>
      <c r="I264" s="25">
        <f>C5+(E264/1000)/C8</f>
        <v/>
      </c>
    </row>
    <row r="265" ht="12.95" customHeight="1" s="44">
      <c r="B265" s="27">
        <f>(239/80*(C6+C7))</f>
        <v/>
      </c>
      <c r="C265" s="27">
        <f>IF(MOD((239/80*(C6+C7)),(C6+C7))&lt;C6,C4,C5)</f>
        <v/>
      </c>
      <c r="D265" s="27">
        <f>IF(MOD((239/80*(C6+C7)),(C6+C7))&lt;C6,0,-((C4*C8)-(C5*C8))/(C9*C8)*EXP(-(MOD((239/80*(C6+C7)),(C6+C7))-C6)/(C9*C8))*60)</f>
        <v/>
      </c>
      <c r="E265" s="28">
        <f>(IF(MOD((239/80*(C6+C7)),(C6+C7))&lt;C6,(C4*C8),(C5*C8)+((C4*C8)-(C5*C8))*EXP(-(MOD((239/80*(C6+C7)),(C6+C7))-C6)/(C9*C8))))*1000</f>
        <v/>
      </c>
      <c r="F265" s="27">
        <f>IF(AND(MOD((239/80*(C6+C7)),(C6+C7))&lt;C6,MOD((239/80*(C6+C7)),(C6+C7))&lt;C12),-ABS(C11)*SIN(PI()*MOD((239/80*(C6+C7)),(C6+C7))/C12),0)</f>
        <v/>
      </c>
      <c r="G265" s="27">
        <f>C5*(C10/(C8+C10))+(E265/1000)/C10+F265</f>
        <v/>
      </c>
      <c r="H265" s="27">
        <f>C265-G265</f>
        <v/>
      </c>
      <c r="I265" s="27">
        <f>C5+(E265/1000)/C8</f>
        <v/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4">
    <mergeCell ref="B1:O1"/>
    <mergeCell ref="B24:I24"/>
    <mergeCell ref="B2:O2"/>
    <mergeCell ref="B14:E14"/>
  </mergeCells>
  <pageMargins left="0.75" right="0.75" top="1" bottom="1" header="0.5" footer="0.5"/>
  <drawing xmlns:r="http://schemas.openxmlformats.org/officeDocument/2006/relationships" r:id="rId1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1:J252"/>
  <sheetViews>
    <sheetView workbookViewId="0">
      <selection activeCell="A1" sqref="A1"/>
    </sheetView>
  </sheetViews>
  <sheetFormatPr baseColWidth="8" defaultRowHeight="15"/>
  <cols>
    <col width="2" customWidth="1" style="44" min="1" max="1"/>
    <col width="28" customWidth="1" style="44" min="2" max="2"/>
    <col width="12" customWidth="1" style="44" min="3" max="3"/>
    <col width="14" customWidth="1" style="44" min="4" max="4"/>
    <col width="18" customWidth="1" style="44" min="5" max="5"/>
    <col width="3" customWidth="1" style="44" min="6" max="6"/>
    <col width="28" customWidth="1" style="44" min="7" max="7"/>
    <col width="12" customWidth="1" style="44" min="8" max="8"/>
    <col width="14" customWidth="1" style="44" min="9" max="9"/>
    <col width="18" customWidth="1" style="44" min="10" max="10"/>
    <col width="3" customWidth="1" style="44" min="11" max="11"/>
  </cols>
  <sheetData>
    <row r="1">
      <c r="B1" s="76" t="inlineStr">
        <is>
          <t>⚡  MECHANICAL POWER CALCULATOR — Area Under P-V Loop (AUC)</t>
        </is>
      </c>
    </row>
    <row r="2">
      <c r="B2" s="77" t="inlineStr">
        <is>
          <t>All results update automatically when you change yellow input cells  •  W_insp = ∫P dV (inspiration)  •  Power = W × RR</t>
        </is>
      </c>
    </row>
    <row r="3">
      <c r="B3" s="78" t="inlineStr">
        <is>
          <t>VCV INPUTS</t>
        </is>
      </c>
      <c r="G3" s="78" t="inlineStr">
        <is>
          <t>PCV INPUTS</t>
        </is>
      </c>
    </row>
    <row r="4">
      <c r="B4" s="79" t="inlineStr">
        <is>
          <t>Tidal Volume (Vt)</t>
        </is>
      </c>
      <c r="C4" s="80" t="n">
        <v>0.5</v>
      </c>
      <c r="D4" s="81" t="inlineStr">
        <is>
          <t>L</t>
        </is>
      </c>
      <c r="G4" s="79" t="inlineStr">
        <is>
          <t>Driving Pressure (DP)</t>
        </is>
      </c>
      <c r="H4" s="80" t="n">
        <v>15</v>
      </c>
      <c r="I4" s="81" t="inlineStr">
        <is>
          <t>cmH2O</t>
        </is>
      </c>
    </row>
    <row r="5">
      <c r="B5" s="79" t="inlineStr">
        <is>
          <t>Insp Flow</t>
        </is>
      </c>
      <c r="C5" s="80" t="n">
        <v>0.5</v>
      </c>
      <c r="D5" s="81" t="inlineStr">
        <is>
          <t>L/s</t>
        </is>
      </c>
      <c r="G5" s="79" t="inlineStr">
        <is>
          <t>Resp Rate (RR)</t>
        </is>
      </c>
      <c r="H5" s="80" t="n">
        <v>15</v>
      </c>
      <c r="I5" s="81" t="inlineStr">
        <is>
          <t>br/min</t>
        </is>
      </c>
    </row>
    <row r="6">
      <c r="B6" s="79" t="inlineStr">
        <is>
          <t>Resp Rate (RR)</t>
        </is>
      </c>
      <c r="C6" s="80" t="n">
        <v>15</v>
      </c>
      <c r="D6" s="81" t="inlineStr">
        <is>
          <t>br/min</t>
        </is>
      </c>
      <c r="G6" s="79" t="inlineStr">
        <is>
          <t>PEEP</t>
        </is>
      </c>
      <c r="H6" s="80" t="n">
        <v>5</v>
      </c>
      <c r="I6" s="81" t="inlineStr">
        <is>
          <t>cmH2O</t>
        </is>
      </c>
    </row>
    <row r="7">
      <c r="B7" s="79" t="inlineStr">
        <is>
          <t>PEEP</t>
        </is>
      </c>
      <c r="C7" s="80" t="n">
        <v>5</v>
      </c>
      <c r="D7" s="81" t="inlineStr">
        <is>
          <t>cmH2O</t>
        </is>
      </c>
      <c r="G7" s="79" t="inlineStr">
        <is>
          <t>Compliance (C)</t>
        </is>
      </c>
      <c r="H7" s="80" t="n">
        <v>0.05</v>
      </c>
      <c r="I7" s="81" t="inlineStr">
        <is>
          <t>L/cmH2O</t>
        </is>
      </c>
    </row>
    <row r="8">
      <c r="B8" s="79" t="inlineStr">
        <is>
          <t>Compliance (C)</t>
        </is>
      </c>
      <c r="C8" s="80" t="n">
        <v>0.05</v>
      </c>
      <c r="D8" s="81" t="inlineStr">
        <is>
          <t>L/cmH2O</t>
        </is>
      </c>
      <c r="G8" s="79" t="inlineStr">
        <is>
          <t>Resistance (R)</t>
        </is>
      </c>
      <c r="H8" s="80" t="n">
        <v>5</v>
      </c>
      <c r="I8" s="81" t="inlineStr">
        <is>
          <t>cmH2O/L/s</t>
        </is>
      </c>
    </row>
    <row r="9">
      <c r="B9" s="79" t="inlineStr">
        <is>
          <t>Resistance (R)</t>
        </is>
      </c>
      <c r="C9" s="80" t="n">
        <v>5</v>
      </c>
      <c r="D9" s="81" t="inlineStr">
        <is>
          <t>cmH2O/L/s</t>
        </is>
      </c>
      <c r="G9" s="79" t="inlineStr">
        <is>
          <t>I:E fraction</t>
        </is>
      </c>
      <c r="H9" s="80" t="n">
        <v>0.33</v>
      </c>
      <c r="I9" s="81" t="inlineStr">
        <is>
          <t>—</t>
        </is>
      </c>
    </row>
    <row r="10">
      <c r="B10" s="79" t="inlineStr">
        <is>
          <t>I:E fraction</t>
        </is>
      </c>
      <c r="C10" s="80" t="n">
        <v>0.33</v>
      </c>
      <c r="D10" s="81" t="inlineStr">
        <is>
          <t>—</t>
        </is>
      </c>
      <c r="G10" s="79" t="inlineStr">
        <is>
          <t>Chest wall Ccw</t>
        </is>
      </c>
      <c r="H10" s="80" t="n">
        <v>0.2</v>
      </c>
      <c r="I10" s="81" t="inlineStr">
        <is>
          <t>L/cmH2O</t>
        </is>
      </c>
    </row>
    <row r="11">
      <c r="B11" s="79" t="inlineStr">
        <is>
          <t>Chest wall Ccw</t>
        </is>
      </c>
      <c r="C11" s="80" t="n">
        <v>0.2</v>
      </c>
      <c r="D11" s="81" t="inlineStr">
        <is>
          <t>L/cmH2O</t>
        </is>
      </c>
      <c r="G11" s="79" t="inlineStr">
        <is>
          <t>Pmus peak</t>
        </is>
      </c>
      <c r="H11" s="80" t="n">
        <v>8</v>
      </c>
      <c r="I11" s="81" t="inlineStr">
        <is>
          <t>cmH2O</t>
        </is>
      </c>
    </row>
    <row r="12">
      <c r="B12" s="79" t="inlineStr">
        <is>
          <t>Pmus peak</t>
        </is>
      </c>
      <c r="C12" s="80" t="n">
        <v>8</v>
      </c>
      <c r="D12" s="81" t="inlineStr">
        <is>
          <t>cmH2O</t>
        </is>
      </c>
    </row>
    <row r="13">
      <c r="B13" s="78" t="inlineStr">
        <is>
          <t>DERIVED PARAMETERS (VCV)</t>
        </is>
      </c>
      <c r="G13" s="78" t="inlineStr">
        <is>
          <t>DERIVED PARAMETERS (PCV)</t>
        </is>
      </c>
    </row>
    <row r="14">
      <c r="B14" s="79" t="inlineStr">
        <is>
          <t>Ttot (s)</t>
        </is>
      </c>
      <c r="C14" s="82">
        <f>60/C6</f>
        <v/>
      </c>
      <c r="G14" s="79" t="inlineStr">
        <is>
          <t>Ttot (s)</t>
        </is>
      </c>
      <c r="H14" s="82">
        <f>60/H5</f>
        <v/>
      </c>
    </row>
    <row r="15">
      <c r="B15" s="79" t="inlineStr">
        <is>
          <t>Ti (s)</t>
        </is>
      </c>
      <c r="C15" s="82">
        <f>C4/C5</f>
        <v/>
      </c>
      <c r="G15" s="79" t="inlineStr">
        <is>
          <t>Ti (s)</t>
        </is>
      </c>
      <c r="H15" s="82">
        <f>H14*H9</f>
        <v/>
      </c>
    </row>
    <row r="16">
      <c r="B16" s="79" t="inlineStr">
        <is>
          <t>Te (s)</t>
        </is>
      </c>
      <c r="C16" s="82">
        <f>C14-C15</f>
        <v/>
      </c>
      <c r="G16" s="79" t="inlineStr">
        <is>
          <t>Te (s)</t>
        </is>
      </c>
      <c r="H16" s="82">
        <f>H14-H15</f>
        <v/>
      </c>
    </row>
    <row r="17">
      <c r="B17" s="79" t="inlineStr">
        <is>
          <t>τ = R×C (s)</t>
        </is>
      </c>
      <c r="C17" s="82">
        <f>C9*C8</f>
        <v/>
      </c>
      <c r="G17" s="79" t="inlineStr">
        <is>
          <t>τ = R×C (s)</t>
        </is>
      </c>
      <c r="H17" s="82">
        <f>H8*H7</f>
        <v/>
      </c>
    </row>
    <row r="18">
      <c r="B18" s="79" t="inlineStr">
        <is>
          <t>Vt (mL)</t>
        </is>
      </c>
      <c r="C18" s="82">
        <f>C4*1000</f>
        <v/>
      </c>
      <c r="G18" s="79" t="inlineStr">
        <is>
          <t>Vt (mL)</t>
        </is>
      </c>
      <c r="H18" s="82">
        <f>H4*H7*(1-EXP(-H15/H17))*1000</f>
        <v/>
      </c>
    </row>
    <row r="21">
      <c r="B21" s="83" t="inlineStr">
        <is>
          <t>VCV RESULTS (live — updates with inputs)</t>
        </is>
      </c>
      <c r="G21" s="83" t="inlineStr">
        <is>
          <t>PCV RESULTS (live — updates with inputs)</t>
        </is>
      </c>
    </row>
    <row r="22">
      <c r="B22" s="84" t="inlineStr">
        <is>
          <t>TOTAL WORK (Paw P-V Loop)</t>
        </is>
      </c>
      <c r="G22" s="84" t="inlineStr">
        <is>
          <t>TOTAL WORK (Paw P-V Loop)</t>
        </is>
      </c>
    </row>
    <row r="23">
      <c r="B23" s="79" t="inlineStr">
        <is>
          <t>W_insp (J/breath)</t>
        </is>
      </c>
      <c r="C23" s="82">
        <f>SUMPRODUCT(((B53:B251-B52:B250)&gt;0)*(C53:C251+C52:C250)/2*(B53:B251-B52:B250)/1000)*0.0980665</f>
        <v/>
      </c>
      <c r="D23" s="81" t="inlineStr">
        <is>
          <t>J</t>
        </is>
      </c>
      <c r="H23" s="82">
        <f>SUMPRODUCT(((G53:G251-G52:G250)&gt;0)*(H53:H251+H52:H250)/2*(G53:G251-G52:G250)/1000)*0.0980665</f>
        <v/>
      </c>
      <c r="I23" s="81" t="inlineStr">
        <is>
          <t>J</t>
        </is>
      </c>
    </row>
    <row r="24">
      <c r="B24" s="79" t="inlineStr">
        <is>
          <t>W_exp (J/breath)</t>
        </is>
      </c>
      <c r="C24" s="82">
        <f>SUMPRODUCT(((B53:B251-B52:B250)&lt;0)*(C53:C251+C52:C250)/2*ABS(B53:B251-B52:B250)/1000)*0.0980665</f>
        <v/>
      </c>
      <c r="D24" s="81" t="inlineStr">
        <is>
          <t>J</t>
        </is>
      </c>
      <c r="H24" s="82">
        <f>SUMPRODUCT(((G53:G251-G52:G250)&lt;0)*(H53:H251+H52:H250)/2*ABS(G53:G251-G52:G250)/1000)*0.0980665</f>
        <v/>
      </c>
      <c r="I24" s="81" t="inlineStr">
        <is>
          <t>J</t>
        </is>
      </c>
    </row>
    <row r="25">
      <c r="B25" s="79" t="inlineStr">
        <is>
          <t>W_net (J/breath)</t>
        </is>
      </c>
      <c r="C25" s="82">
        <f>C23-C24</f>
        <v/>
      </c>
      <c r="D25" s="81" t="inlineStr">
        <is>
          <t>J</t>
        </is>
      </c>
      <c r="H25" s="82">
        <f>H23-H24</f>
        <v/>
      </c>
      <c r="I25" s="81" t="inlineStr">
        <is>
          <t>J</t>
        </is>
      </c>
    </row>
    <row r="26">
      <c r="B26" s="79" t="inlineStr">
        <is>
          <t>Power_insp (J/min)</t>
        </is>
      </c>
      <c r="C26" s="82">
        <f>C23*C6</f>
        <v/>
      </c>
      <c r="D26" s="81" t="inlineStr">
        <is>
          <t>J/min</t>
        </is>
      </c>
      <c r="H26" s="82">
        <f>H23*H5</f>
        <v/>
      </c>
      <c r="I26" s="81" t="inlineStr">
        <is>
          <t>J/min</t>
        </is>
      </c>
    </row>
    <row r="27">
      <c r="B27" s="79" t="inlineStr">
        <is>
          <t>Power_exp (J/min)</t>
        </is>
      </c>
      <c r="C27" s="82">
        <f>C24*C6</f>
        <v/>
      </c>
      <c r="D27" s="81" t="inlineStr">
        <is>
          <t>J/min</t>
        </is>
      </c>
      <c r="H27" s="82">
        <f>H24*H5</f>
        <v/>
      </c>
      <c r="I27" s="81" t="inlineStr">
        <is>
          <t>J/min</t>
        </is>
      </c>
    </row>
    <row r="28">
      <c r="B28" s="79" t="inlineStr">
        <is>
          <t>Power_net (J/min)</t>
        </is>
      </c>
      <c r="C28" s="82">
        <f>C25*C6</f>
        <v/>
      </c>
      <c r="D28" s="81" t="inlineStr">
        <is>
          <t>J/min</t>
        </is>
      </c>
      <c r="H28" s="82">
        <f>H25*H5</f>
        <v/>
      </c>
      <c r="I28" s="81" t="inlineStr">
        <is>
          <t>J/min</t>
        </is>
      </c>
    </row>
    <row r="29">
      <c r="B29" s="84" t="inlineStr">
        <is>
          <t>WORK PARTITIONING</t>
        </is>
      </c>
      <c r="G29" s="84" t="inlineStr">
        <is>
          <t>WORK PARTITIONING</t>
        </is>
      </c>
    </row>
    <row r="30">
      <c r="B30" s="79" t="inlineStr">
        <is>
          <t>W_elastic (J)</t>
        </is>
      </c>
      <c r="C30" s="82">
        <f>0.5*C4^2/C8*0.0980665</f>
        <v/>
      </c>
      <c r="D30" s="81" t="inlineStr">
        <is>
          <t>J</t>
        </is>
      </c>
      <c r="E30" s="85" t="inlineStr">
        <is>
          <t>½·Vt²/C × 0.0981</t>
        </is>
      </c>
      <c r="H30" s="82">
        <f>0.5*(H18/1000)^2/H7*0.0980665</f>
        <v/>
      </c>
      <c r="I30" s="81" t="inlineStr">
        <is>
          <t>J</t>
        </is>
      </c>
    </row>
    <row r="31">
      <c r="B31" s="79" t="inlineStr">
        <is>
          <t>W_resistive (J)</t>
        </is>
      </c>
      <c r="C31" s="82">
        <f>C23-C30-C31</f>
        <v/>
      </c>
      <c r="D31" s="81" t="inlineStr">
        <is>
          <t>J</t>
        </is>
      </c>
      <c r="E31" s="85" t="inlineStr">
        <is>
          <t>W_insp − W_elastic − W_PEEP</t>
        </is>
      </c>
      <c r="H31" s="82">
        <f>H23-H30-H31</f>
        <v/>
      </c>
      <c r="I31" s="81" t="inlineStr">
        <is>
          <t>J</t>
        </is>
      </c>
    </row>
    <row r="32">
      <c r="B32" s="79" t="inlineStr">
        <is>
          <t>W_PEEP (J)</t>
        </is>
      </c>
      <c r="C32" s="82">
        <f>C7*C4*0.0980665</f>
        <v/>
      </c>
      <c r="D32" s="81" t="inlineStr">
        <is>
          <t>J</t>
        </is>
      </c>
      <c r="E32" s="85" t="inlineStr">
        <is>
          <t>PEEP × Vt × 0.0981</t>
        </is>
      </c>
      <c r="H32" s="82">
        <f>H6*(H18/1000)*0.0980665</f>
        <v/>
      </c>
      <c r="I32" s="81" t="inlineStr">
        <is>
          <t>J</t>
        </is>
      </c>
    </row>
    <row r="33">
      <c r="B33" s="86" t="inlineStr">
        <is>
          <t>MP_elastic (J/min)</t>
        </is>
      </c>
      <c r="C33" s="82">
        <f>C30*C6</f>
        <v/>
      </c>
      <c r="D33" s="81" t="inlineStr">
        <is>
          <t>J/min</t>
        </is>
      </c>
      <c r="E33" s="85" t="inlineStr">
        <is>
          <t>W_elastic × RR</t>
        </is>
      </c>
      <c r="H33" s="82">
        <f>H30*H5</f>
        <v/>
      </c>
      <c r="I33" s="81" t="inlineStr">
        <is>
          <t>J/min</t>
        </is>
      </c>
    </row>
    <row r="34">
      <c r="B34" s="86" t="inlineStr">
        <is>
          <t>MP_resistive (J/min)</t>
        </is>
      </c>
      <c r="C34" s="82">
        <f>C31*C6</f>
        <v/>
      </c>
      <c r="D34" s="81" t="inlineStr">
        <is>
          <t>J/min</t>
        </is>
      </c>
      <c r="E34" s="85" t="inlineStr">
        <is>
          <t>W_resistive × RR</t>
        </is>
      </c>
      <c r="H34" s="82">
        <f>H31*H5</f>
        <v/>
      </c>
      <c r="I34" s="81" t="inlineStr">
        <is>
          <t>J/min</t>
        </is>
      </c>
    </row>
    <row r="35">
      <c r="B35" s="86" t="inlineStr">
        <is>
          <t>MP_PEEP (J/min)</t>
        </is>
      </c>
      <c r="C35" s="82">
        <f>C32*C6</f>
        <v/>
      </c>
      <c r="D35" s="81" t="inlineStr">
        <is>
          <t>J/min</t>
        </is>
      </c>
      <c r="E35" s="85" t="inlineStr">
        <is>
          <t>W_PEEP × RR</t>
        </is>
      </c>
      <c r="H35" s="82">
        <f>H32*H5</f>
        <v/>
      </c>
      <c r="I35" s="81" t="inlineStr">
        <is>
          <t>J/min</t>
        </is>
      </c>
    </row>
    <row r="36">
      <c r="B36" s="84" t="inlineStr">
        <is>
          <t>TRANSPULMONARY WORK (PL-V Loop)</t>
        </is>
      </c>
      <c r="G36" s="84" t="inlineStr">
        <is>
          <t>TRANSPULMONARY WORK (PL-V Loop)</t>
        </is>
      </c>
    </row>
    <row r="37">
      <c r="B37" s="79" t="inlineStr">
        <is>
          <t>W_insp PL (J)</t>
        </is>
      </c>
      <c r="C37" s="82">
        <f>SUMPRODUCT(((B53:B251-B52:B250)&gt;0)*(D53:D251+D52:D250)/2*(B53:B251-B52:B250)/1000)*0.0980665</f>
        <v/>
      </c>
      <c r="D37" s="81" t="inlineStr">
        <is>
          <t>J</t>
        </is>
      </c>
      <c r="H37" s="82">
        <f>SUMPRODUCT(((G53:G251-G52:G250)&gt;0)*(I53:I251+I52:I250)/2*(G53:G251-G52:G250)/1000)*0.0980665</f>
        <v/>
      </c>
      <c r="I37" s="81" t="inlineStr">
        <is>
          <t>J</t>
        </is>
      </c>
    </row>
    <row r="38">
      <c r="B38" s="79" t="inlineStr">
        <is>
          <t>W_exp PL (J)</t>
        </is>
      </c>
      <c r="C38" s="82">
        <f>SUMPRODUCT(((B53:B251-B52:B250)&lt;0)*(D53:D251+D52:D250)/2*ABS(B53:B251-B52:B250)/1000)*0.0980665</f>
        <v/>
      </c>
      <c r="D38" s="81" t="inlineStr">
        <is>
          <t>J</t>
        </is>
      </c>
      <c r="H38" s="82">
        <f>SUMPRODUCT(((G53:G251-G52:G250)&lt;0)*(I53:I251+I52:I250)/2*ABS(G53:G251-G52:G250)/1000)*0.0980665</f>
        <v/>
      </c>
      <c r="I38" s="81" t="inlineStr">
        <is>
          <t>J</t>
        </is>
      </c>
    </row>
    <row r="39">
      <c r="B39" s="79" t="inlineStr">
        <is>
          <t>W_net PL (J)</t>
        </is>
      </c>
      <c r="C39" s="82">
        <f>C37-C38</f>
        <v/>
      </c>
      <c r="D39" s="81" t="inlineStr">
        <is>
          <t>J</t>
        </is>
      </c>
      <c r="H39" s="82">
        <f>H37-H38</f>
        <v/>
      </c>
      <c r="I39" s="81" t="inlineStr">
        <is>
          <t>J</t>
        </is>
      </c>
    </row>
    <row r="40">
      <c r="B40" s="79" t="inlineStr">
        <is>
          <t>MP_insp PL (J/min)</t>
        </is>
      </c>
      <c r="C40" s="82">
        <f>C37*C6</f>
        <v/>
      </c>
      <c r="D40" s="81" t="inlineStr">
        <is>
          <t>J/min</t>
        </is>
      </c>
      <c r="H40" s="82">
        <f>H37*H5</f>
        <v/>
      </c>
      <c r="I40" s="81" t="inlineStr">
        <is>
          <t>J/min</t>
        </is>
      </c>
    </row>
    <row r="41">
      <c r="B41" s="79" t="inlineStr">
        <is>
          <t>MP_exp PL (J/min)</t>
        </is>
      </c>
      <c r="C41" s="82">
        <f>C38*C6</f>
        <v/>
      </c>
      <c r="D41" s="81" t="inlineStr">
        <is>
          <t>J/min</t>
        </is>
      </c>
      <c r="H41" s="82">
        <f>H38*H5</f>
        <v/>
      </c>
      <c r="I41" s="81" t="inlineStr">
        <is>
          <t>J/min</t>
        </is>
      </c>
    </row>
    <row r="42">
      <c r="B42" s="79" t="inlineStr">
        <is>
          <t>MP_net PL (J/min)</t>
        </is>
      </c>
      <c r="C42" s="82">
        <f>C39*C6</f>
        <v/>
      </c>
      <c r="D42" s="81" t="inlineStr">
        <is>
          <t>J/min</t>
        </is>
      </c>
      <c r="H42" s="82">
        <f>H39*H5</f>
        <v/>
      </c>
      <c r="I42" s="81" t="inlineStr">
        <is>
          <t>J/min</t>
        </is>
      </c>
    </row>
    <row r="43">
      <c r="B43" s="83" t="inlineStr">
        <is>
          <t>MECHANICAL POWER RISK THRESHOLDS</t>
        </is>
      </c>
    </row>
    <row r="44">
      <c r="B44" s="87" t="inlineStr">
        <is>
          <t>Power (J/min)</t>
        </is>
      </c>
      <c r="C44" s="87" t="inlineStr">
        <is>
          <t>Risk Level</t>
        </is>
      </c>
      <c r="D44" s="87" t="inlineStr">
        <is>
          <t>Clinical Action</t>
        </is>
      </c>
    </row>
    <row r="45">
      <c r="B45" s="88" t="inlineStr">
        <is>
          <t>&lt; 5</t>
        </is>
      </c>
      <c r="C45" s="88" t="inlineStr">
        <is>
          <t>Very Low</t>
        </is>
      </c>
      <c r="D45" s="88" t="inlineStr">
        <is>
          <t>Minimal VILI risk</t>
        </is>
      </c>
    </row>
    <row r="46">
      <c r="B46" s="88" t="inlineStr">
        <is>
          <t>5–10</t>
        </is>
      </c>
      <c r="C46" s="88" t="inlineStr">
        <is>
          <t>Low</t>
        </is>
      </c>
      <c r="D46" s="88" t="inlineStr">
        <is>
          <t>Acceptable for most patients</t>
        </is>
      </c>
    </row>
    <row r="47">
      <c r="B47" s="89" t="inlineStr">
        <is>
          <t>10–17</t>
        </is>
      </c>
      <c r="C47" s="89" t="inlineStr">
        <is>
          <t>Moderate</t>
        </is>
      </c>
      <c r="D47" s="89" t="inlineStr">
        <is>
          <t>Monitor; optimise settings</t>
        </is>
      </c>
    </row>
    <row r="48">
      <c r="B48" s="90" t="inlineStr">
        <is>
          <t>&gt; 17</t>
        </is>
      </c>
      <c r="C48" s="90" t="inlineStr">
        <is>
          <t>HIGH ⚠</t>
        </is>
      </c>
      <c r="D48" s="90" t="inlineStr">
        <is>
          <t>Reduce Vt, RR, or DP urgently</t>
        </is>
      </c>
    </row>
    <row r="50">
      <c r="B50" s="91" t="inlineStr">
        <is>
          <t>VCV P-V LOOP DATA  (100 insp + 100 exp = closed loop)</t>
        </is>
      </c>
      <c r="G50" s="91" t="inlineStr">
        <is>
          <t>PCV P-V LOOP DATA  (100 insp + 100 exp = closed loop)</t>
        </is>
      </c>
    </row>
    <row r="51">
      <c r="B51" s="87" t="inlineStr">
        <is>
          <t>Vol(mL)</t>
        </is>
      </c>
      <c r="C51" s="87" t="inlineStr">
        <is>
          <t>Paw(cmH2O)</t>
        </is>
      </c>
      <c r="D51" s="87" t="inlineStr">
        <is>
          <t>PL(cmH2O)</t>
        </is>
      </c>
      <c r="E51" s="87" t="inlineStr">
        <is>
          <t>Palv(cmH2O)</t>
        </is>
      </c>
      <c r="G51" s="87" t="inlineStr">
        <is>
          <t>Vol(mL)</t>
        </is>
      </c>
      <c r="H51" s="87" t="inlineStr">
        <is>
          <t>Paw(cmH2O)</t>
        </is>
      </c>
      <c r="I51" s="87" t="inlineStr">
        <is>
          <t>PL(cmH2O)</t>
        </is>
      </c>
      <c r="J51" s="87" t="inlineStr">
        <is>
          <t>Palv(cmH2O)</t>
        </is>
      </c>
    </row>
    <row r="52">
      <c r="B52">
        <f>(ROW()-52)/99*$C$18</f>
        <v/>
      </c>
      <c r="C52">
        <f>$C$7+((ROW()-52)/99*$C$18/1000)/$C$8+$C$5*$C$9</f>
        <v/>
      </c>
      <c r="D52">
        <f>$C$7+((ROW()-52)/99*$C$18/1000)/$C$8+$C$5*$C$9-($C$7*($C$11/($C$8+$C$11))+((ROW()-52)/99*$C$18/1000)/$C$11)</f>
        <v/>
      </c>
      <c r="E52">
        <f>$C$7+((ROW()-52)/99*$C$18/1000)/$C$8</f>
        <v/>
      </c>
      <c r="G52">
        <f>$H$18*(1-EXP(-(ROW()-52)/99*$H$15/$H$17))</f>
        <v/>
      </c>
      <c r="H52">
        <f>$H$6+$H$4</f>
        <v/>
      </c>
      <c r="I52">
        <f>$H$6+$H$4-($H$6*($H$10/($H$7+$H$10))+($H$18*(1-EXP(-(ROW()-52)/99*$H$15/$H$17))/1000)/$H$10)</f>
        <v/>
      </c>
      <c r="J52">
        <f>$H$6+($H$18*(1-EXP(-(ROW()-52)/99*$H$15/$H$17))/1000)/$H$7</f>
        <v/>
      </c>
    </row>
    <row r="53">
      <c r="B53">
        <f>(ROW()-52)/99*$C$18</f>
        <v/>
      </c>
      <c r="C53">
        <f>$C$7+((ROW()-52)/99*$C$18/1000)/$C$8+$C$5*$C$9</f>
        <v/>
      </c>
      <c r="D53">
        <f>$C$7+((ROW()-52)/99*$C$18/1000)/$C$8+$C$5*$C$9-($C$7*($C$11/($C$8+$C$11))+((ROW()-52)/99*$C$18/1000)/$C$11)</f>
        <v/>
      </c>
      <c r="E53">
        <f>$C$7+((ROW()-52)/99*$C$18/1000)/$C$8</f>
        <v/>
      </c>
      <c r="G53">
        <f>$H$18*(1-EXP(-(ROW()-52)/99*$H$15/$H$17))</f>
        <v/>
      </c>
      <c r="H53">
        <f>$H$6+$H$4</f>
        <v/>
      </c>
      <c r="I53">
        <f>$H$6+$H$4-($H$6*($H$10/($H$7+$H$10))+($H$18*(1-EXP(-(ROW()-52)/99*$H$15/$H$17))/1000)/$H$10)</f>
        <v/>
      </c>
      <c r="J53">
        <f>$H$6+($H$18*(1-EXP(-(ROW()-52)/99*$H$15/$H$17))/1000)/$H$7</f>
        <v/>
      </c>
    </row>
    <row r="54">
      <c r="B54">
        <f>(ROW()-52)/99*$C$18</f>
        <v/>
      </c>
      <c r="C54">
        <f>$C$7+((ROW()-52)/99*$C$18/1000)/$C$8+$C$5*$C$9</f>
        <v/>
      </c>
      <c r="D54">
        <f>$C$7+((ROW()-52)/99*$C$18/1000)/$C$8+$C$5*$C$9-($C$7*($C$11/($C$8+$C$11))+((ROW()-52)/99*$C$18/1000)/$C$11)</f>
        <v/>
      </c>
      <c r="E54">
        <f>$C$7+((ROW()-52)/99*$C$18/1000)/$C$8</f>
        <v/>
      </c>
      <c r="G54">
        <f>$H$18*(1-EXP(-(ROW()-52)/99*$H$15/$H$17))</f>
        <v/>
      </c>
      <c r="H54">
        <f>$H$6+$H$4</f>
        <v/>
      </c>
      <c r="I54">
        <f>$H$6+$H$4-($H$6*($H$10/($H$7+$H$10))+($H$18*(1-EXP(-(ROW()-52)/99*$H$15/$H$17))/1000)/$H$10)</f>
        <v/>
      </c>
      <c r="J54">
        <f>$H$6+($H$18*(1-EXP(-(ROW()-52)/99*$H$15/$H$17))/1000)/$H$7</f>
        <v/>
      </c>
    </row>
    <row r="55">
      <c r="B55">
        <f>(ROW()-52)/99*$C$18</f>
        <v/>
      </c>
      <c r="C55">
        <f>$C$7+((ROW()-52)/99*$C$18/1000)/$C$8+$C$5*$C$9</f>
        <v/>
      </c>
      <c r="D55">
        <f>$C$7+((ROW()-52)/99*$C$18/1000)/$C$8+$C$5*$C$9-($C$7*($C$11/($C$8+$C$11))+((ROW()-52)/99*$C$18/1000)/$C$11)</f>
        <v/>
      </c>
      <c r="E55">
        <f>$C$7+((ROW()-52)/99*$C$18/1000)/$C$8</f>
        <v/>
      </c>
      <c r="G55">
        <f>$H$18*(1-EXP(-(ROW()-52)/99*$H$15/$H$17))</f>
        <v/>
      </c>
      <c r="H55">
        <f>$H$6+$H$4</f>
        <v/>
      </c>
      <c r="I55">
        <f>$H$6+$H$4-($H$6*($H$10/($H$7+$H$10))+($H$18*(1-EXP(-(ROW()-52)/99*$H$15/$H$17))/1000)/$H$10)</f>
        <v/>
      </c>
      <c r="J55">
        <f>$H$6+($H$18*(1-EXP(-(ROW()-52)/99*$H$15/$H$17))/1000)/$H$7</f>
        <v/>
      </c>
    </row>
    <row r="56">
      <c r="B56">
        <f>(ROW()-52)/99*$C$18</f>
        <v/>
      </c>
      <c r="C56">
        <f>$C$7+((ROW()-52)/99*$C$18/1000)/$C$8+$C$5*$C$9</f>
        <v/>
      </c>
      <c r="D56">
        <f>$C$7+((ROW()-52)/99*$C$18/1000)/$C$8+$C$5*$C$9-($C$7*($C$11/($C$8+$C$11))+((ROW()-52)/99*$C$18/1000)/$C$11)</f>
        <v/>
      </c>
      <c r="E56">
        <f>$C$7+((ROW()-52)/99*$C$18/1000)/$C$8</f>
        <v/>
      </c>
      <c r="G56">
        <f>$H$18*(1-EXP(-(ROW()-52)/99*$H$15/$H$17))</f>
        <v/>
      </c>
      <c r="H56">
        <f>$H$6+$H$4</f>
        <v/>
      </c>
      <c r="I56">
        <f>$H$6+$H$4-($H$6*($H$10/($H$7+$H$10))+($H$18*(1-EXP(-(ROW()-52)/99*$H$15/$H$17))/1000)/$H$10)</f>
        <v/>
      </c>
      <c r="J56">
        <f>$H$6+($H$18*(1-EXP(-(ROW()-52)/99*$H$15/$H$17))/1000)/$H$7</f>
        <v/>
      </c>
    </row>
    <row r="57">
      <c r="B57">
        <f>(ROW()-52)/99*$C$18</f>
        <v/>
      </c>
      <c r="C57">
        <f>$C$7+((ROW()-52)/99*$C$18/1000)/$C$8+$C$5*$C$9</f>
        <v/>
      </c>
      <c r="D57">
        <f>$C$7+((ROW()-52)/99*$C$18/1000)/$C$8+$C$5*$C$9-($C$7*($C$11/($C$8+$C$11))+((ROW()-52)/99*$C$18/1000)/$C$11)</f>
        <v/>
      </c>
      <c r="E57">
        <f>$C$7+((ROW()-52)/99*$C$18/1000)/$C$8</f>
        <v/>
      </c>
      <c r="G57">
        <f>$H$18*(1-EXP(-(ROW()-52)/99*$H$15/$H$17))</f>
        <v/>
      </c>
      <c r="H57">
        <f>$H$6+$H$4</f>
        <v/>
      </c>
      <c r="I57">
        <f>$H$6+$H$4-($H$6*($H$10/($H$7+$H$10))+($H$18*(1-EXP(-(ROW()-52)/99*$H$15/$H$17))/1000)/$H$10)</f>
        <v/>
      </c>
      <c r="J57">
        <f>$H$6+($H$18*(1-EXP(-(ROW()-52)/99*$H$15/$H$17))/1000)/$H$7</f>
        <v/>
      </c>
    </row>
    <row r="58">
      <c r="B58">
        <f>(ROW()-52)/99*$C$18</f>
        <v/>
      </c>
      <c r="C58">
        <f>$C$7+((ROW()-52)/99*$C$18/1000)/$C$8+$C$5*$C$9</f>
        <v/>
      </c>
      <c r="D58">
        <f>$C$7+((ROW()-52)/99*$C$18/1000)/$C$8+$C$5*$C$9-($C$7*($C$11/($C$8+$C$11))+((ROW()-52)/99*$C$18/1000)/$C$11)</f>
        <v/>
      </c>
      <c r="E58">
        <f>$C$7+((ROW()-52)/99*$C$18/1000)/$C$8</f>
        <v/>
      </c>
      <c r="G58">
        <f>$H$18*(1-EXP(-(ROW()-52)/99*$H$15/$H$17))</f>
        <v/>
      </c>
      <c r="H58">
        <f>$H$6+$H$4</f>
        <v/>
      </c>
      <c r="I58">
        <f>$H$6+$H$4-($H$6*($H$10/($H$7+$H$10))+($H$18*(1-EXP(-(ROW()-52)/99*$H$15/$H$17))/1000)/$H$10)</f>
        <v/>
      </c>
      <c r="J58">
        <f>$H$6+($H$18*(1-EXP(-(ROW()-52)/99*$H$15/$H$17))/1000)/$H$7</f>
        <v/>
      </c>
    </row>
    <row r="59">
      <c r="B59">
        <f>(ROW()-52)/99*$C$18</f>
        <v/>
      </c>
      <c r="C59">
        <f>$C$7+((ROW()-52)/99*$C$18/1000)/$C$8+$C$5*$C$9</f>
        <v/>
      </c>
      <c r="D59">
        <f>$C$7+((ROW()-52)/99*$C$18/1000)/$C$8+$C$5*$C$9-($C$7*($C$11/($C$8+$C$11))+((ROW()-52)/99*$C$18/1000)/$C$11)</f>
        <v/>
      </c>
      <c r="E59">
        <f>$C$7+((ROW()-52)/99*$C$18/1000)/$C$8</f>
        <v/>
      </c>
      <c r="G59">
        <f>$H$18*(1-EXP(-(ROW()-52)/99*$H$15/$H$17))</f>
        <v/>
      </c>
      <c r="H59">
        <f>$H$6+$H$4</f>
        <v/>
      </c>
      <c r="I59">
        <f>$H$6+$H$4-($H$6*($H$10/($H$7+$H$10))+($H$18*(1-EXP(-(ROW()-52)/99*$H$15/$H$17))/1000)/$H$10)</f>
        <v/>
      </c>
      <c r="J59">
        <f>$H$6+($H$18*(1-EXP(-(ROW()-52)/99*$H$15/$H$17))/1000)/$H$7</f>
        <v/>
      </c>
    </row>
    <row r="60">
      <c r="B60">
        <f>(ROW()-52)/99*$C$18</f>
        <v/>
      </c>
      <c r="C60">
        <f>$C$7+((ROW()-52)/99*$C$18/1000)/$C$8+$C$5*$C$9</f>
        <v/>
      </c>
      <c r="D60">
        <f>$C$7+((ROW()-52)/99*$C$18/1000)/$C$8+$C$5*$C$9-($C$7*($C$11/($C$8+$C$11))+((ROW()-52)/99*$C$18/1000)/$C$11)</f>
        <v/>
      </c>
      <c r="E60">
        <f>$C$7+((ROW()-52)/99*$C$18/1000)/$C$8</f>
        <v/>
      </c>
      <c r="G60">
        <f>$H$18*(1-EXP(-(ROW()-52)/99*$H$15/$H$17))</f>
        <v/>
      </c>
      <c r="H60">
        <f>$H$6+$H$4</f>
        <v/>
      </c>
      <c r="I60">
        <f>$H$6+$H$4-($H$6*($H$10/($H$7+$H$10))+($H$18*(1-EXP(-(ROW()-52)/99*$H$15/$H$17))/1000)/$H$10)</f>
        <v/>
      </c>
      <c r="J60">
        <f>$H$6+($H$18*(1-EXP(-(ROW()-52)/99*$H$15/$H$17))/1000)/$H$7</f>
        <v/>
      </c>
    </row>
    <row r="61">
      <c r="B61">
        <f>(ROW()-52)/99*$C$18</f>
        <v/>
      </c>
      <c r="C61">
        <f>$C$7+((ROW()-52)/99*$C$18/1000)/$C$8+$C$5*$C$9</f>
        <v/>
      </c>
      <c r="D61">
        <f>$C$7+((ROW()-52)/99*$C$18/1000)/$C$8+$C$5*$C$9-($C$7*($C$11/($C$8+$C$11))+((ROW()-52)/99*$C$18/1000)/$C$11)</f>
        <v/>
      </c>
      <c r="E61">
        <f>$C$7+((ROW()-52)/99*$C$18/1000)/$C$8</f>
        <v/>
      </c>
      <c r="G61">
        <f>$H$18*(1-EXP(-(ROW()-52)/99*$H$15/$H$17))</f>
        <v/>
      </c>
      <c r="H61">
        <f>$H$6+$H$4</f>
        <v/>
      </c>
      <c r="I61">
        <f>$H$6+$H$4-($H$6*($H$10/($H$7+$H$10))+($H$18*(1-EXP(-(ROW()-52)/99*$H$15/$H$17))/1000)/$H$10)</f>
        <v/>
      </c>
      <c r="J61">
        <f>$H$6+($H$18*(1-EXP(-(ROW()-52)/99*$H$15/$H$17))/1000)/$H$7</f>
        <v/>
      </c>
    </row>
    <row r="62">
      <c r="B62">
        <f>(ROW()-52)/99*$C$18</f>
        <v/>
      </c>
      <c r="C62">
        <f>$C$7+((ROW()-52)/99*$C$18/1000)/$C$8+$C$5*$C$9</f>
        <v/>
      </c>
      <c r="D62">
        <f>$C$7+((ROW()-52)/99*$C$18/1000)/$C$8+$C$5*$C$9-($C$7*($C$11/($C$8+$C$11))+((ROW()-52)/99*$C$18/1000)/$C$11)</f>
        <v/>
      </c>
      <c r="E62">
        <f>$C$7+((ROW()-52)/99*$C$18/1000)/$C$8</f>
        <v/>
      </c>
      <c r="G62">
        <f>$H$18*(1-EXP(-(ROW()-52)/99*$H$15/$H$17))</f>
        <v/>
      </c>
      <c r="H62">
        <f>$H$6+$H$4</f>
        <v/>
      </c>
      <c r="I62">
        <f>$H$6+$H$4-($H$6*($H$10/($H$7+$H$10))+($H$18*(1-EXP(-(ROW()-52)/99*$H$15/$H$17))/1000)/$H$10)</f>
        <v/>
      </c>
      <c r="J62">
        <f>$H$6+($H$18*(1-EXP(-(ROW()-52)/99*$H$15/$H$17))/1000)/$H$7</f>
        <v/>
      </c>
    </row>
    <row r="63">
      <c r="B63">
        <f>(ROW()-52)/99*$C$18</f>
        <v/>
      </c>
      <c r="C63">
        <f>$C$7+((ROW()-52)/99*$C$18/1000)/$C$8+$C$5*$C$9</f>
        <v/>
      </c>
      <c r="D63">
        <f>$C$7+((ROW()-52)/99*$C$18/1000)/$C$8+$C$5*$C$9-($C$7*($C$11/($C$8+$C$11))+((ROW()-52)/99*$C$18/1000)/$C$11)</f>
        <v/>
      </c>
      <c r="E63">
        <f>$C$7+((ROW()-52)/99*$C$18/1000)/$C$8</f>
        <v/>
      </c>
      <c r="G63">
        <f>$H$18*(1-EXP(-(ROW()-52)/99*$H$15/$H$17))</f>
        <v/>
      </c>
      <c r="H63">
        <f>$H$6+$H$4</f>
        <v/>
      </c>
      <c r="I63">
        <f>$H$6+$H$4-($H$6*($H$10/($H$7+$H$10))+($H$18*(1-EXP(-(ROW()-52)/99*$H$15/$H$17))/1000)/$H$10)</f>
        <v/>
      </c>
      <c r="J63">
        <f>$H$6+($H$18*(1-EXP(-(ROW()-52)/99*$H$15/$H$17))/1000)/$H$7</f>
        <v/>
      </c>
    </row>
    <row r="64">
      <c r="B64">
        <f>(ROW()-52)/99*$C$18</f>
        <v/>
      </c>
      <c r="C64">
        <f>$C$7+((ROW()-52)/99*$C$18/1000)/$C$8+$C$5*$C$9</f>
        <v/>
      </c>
      <c r="D64">
        <f>$C$7+((ROW()-52)/99*$C$18/1000)/$C$8+$C$5*$C$9-($C$7*($C$11/($C$8+$C$11))+((ROW()-52)/99*$C$18/1000)/$C$11)</f>
        <v/>
      </c>
      <c r="E64">
        <f>$C$7+((ROW()-52)/99*$C$18/1000)/$C$8</f>
        <v/>
      </c>
      <c r="G64">
        <f>$H$18*(1-EXP(-(ROW()-52)/99*$H$15/$H$17))</f>
        <v/>
      </c>
      <c r="H64">
        <f>$H$6+$H$4</f>
        <v/>
      </c>
      <c r="I64">
        <f>$H$6+$H$4-($H$6*($H$10/($H$7+$H$10))+($H$18*(1-EXP(-(ROW()-52)/99*$H$15/$H$17))/1000)/$H$10)</f>
        <v/>
      </c>
      <c r="J64">
        <f>$H$6+($H$18*(1-EXP(-(ROW()-52)/99*$H$15/$H$17))/1000)/$H$7</f>
        <v/>
      </c>
    </row>
    <row r="65">
      <c r="B65">
        <f>(ROW()-52)/99*$C$18</f>
        <v/>
      </c>
      <c r="C65">
        <f>$C$7+((ROW()-52)/99*$C$18/1000)/$C$8+$C$5*$C$9</f>
        <v/>
      </c>
      <c r="D65">
        <f>$C$7+((ROW()-52)/99*$C$18/1000)/$C$8+$C$5*$C$9-($C$7*($C$11/($C$8+$C$11))+((ROW()-52)/99*$C$18/1000)/$C$11)</f>
        <v/>
      </c>
      <c r="E65">
        <f>$C$7+((ROW()-52)/99*$C$18/1000)/$C$8</f>
        <v/>
      </c>
      <c r="G65">
        <f>$H$18*(1-EXP(-(ROW()-52)/99*$H$15/$H$17))</f>
        <v/>
      </c>
      <c r="H65">
        <f>$H$6+$H$4</f>
        <v/>
      </c>
      <c r="I65">
        <f>$H$6+$H$4-($H$6*($H$10/($H$7+$H$10))+($H$18*(1-EXP(-(ROW()-52)/99*$H$15/$H$17))/1000)/$H$10)</f>
        <v/>
      </c>
      <c r="J65">
        <f>$H$6+($H$18*(1-EXP(-(ROW()-52)/99*$H$15/$H$17))/1000)/$H$7</f>
        <v/>
      </c>
    </row>
    <row r="66">
      <c r="B66">
        <f>(ROW()-52)/99*$C$18</f>
        <v/>
      </c>
      <c r="C66">
        <f>$C$7+((ROW()-52)/99*$C$18/1000)/$C$8+$C$5*$C$9</f>
        <v/>
      </c>
      <c r="D66">
        <f>$C$7+((ROW()-52)/99*$C$18/1000)/$C$8+$C$5*$C$9-($C$7*($C$11/($C$8+$C$11))+((ROW()-52)/99*$C$18/1000)/$C$11)</f>
        <v/>
      </c>
      <c r="E66">
        <f>$C$7+((ROW()-52)/99*$C$18/1000)/$C$8</f>
        <v/>
      </c>
      <c r="G66">
        <f>$H$18*(1-EXP(-(ROW()-52)/99*$H$15/$H$17))</f>
        <v/>
      </c>
      <c r="H66">
        <f>$H$6+$H$4</f>
        <v/>
      </c>
      <c r="I66">
        <f>$H$6+$H$4-($H$6*($H$10/($H$7+$H$10))+($H$18*(1-EXP(-(ROW()-52)/99*$H$15/$H$17))/1000)/$H$10)</f>
        <v/>
      </c>
      <c r="J66">
        <f>$H$6+($H$18*(1-EXP(-(ROW()-52)/99*$H$15/$H$17))/1000)/$H$7</f>
        <v/>
      </c>
    </row>
    <row r="67">
      <c r="B67">
        <f>(ROW()-52)/99*$C$18</f>
        <v/>
      </c>
      <c r="C67">
        <f>$C$7+((ROW()-52)/99*$C$18/1000)/$C$8+$C$5*$C$9</f>
        <v/>
      </c>
      <c r="D67">
        <f>$C$7+((ROW()-52)/99*$C$18/1000)/$C$8+$C$5*$C$9-($C$7*($C$11/($C$8+$C$11))+((ROW()-52)/99*$C$18/1000)/$C$11)</f>
        <v/>
      </c>
      <c r="E67">
        <f>$C$7+((ROW()-52)/99*$C$18/1000)/$C$8</f>
        <v/>
      </c>
      <c r="G67">
        <f>$H$18*(1-EXP(-(ROW()-52)/99*$H$15/$H$17))</f>
        <v/>
      </c>
      <c r="H67">
        <f>$H$6+$H$4</f>
        <v/>
      </c>
      <c r="I67">
        <f>$H$6+$H$4-($H$6*($H$10/($H$7+$H$10))+($H$18*(1-EXP(-(ROW()-52)/99*$H$15/$H$17))/1000)/$H$10)</f>
        <v/>
      </c>
      <c r="J67">
        <f>$H$6+($H$18*(1-EXP(-(ROW()-52)/99*$H$15/$H$17))/1000)/$H$7</f>
        <v/>
      </c>
    </row>
    <row r="68">
      <c r="B68">
        <f>(ROW()-52)/99*$C$18</f>
        <v/>
      </c>
      <c r="C68">
        <f>$C$7+((ROW()-52)/99*$C$18/1000)/$C$8+$C$5*$C$9</f>
        <v/>
      </c>
      <c r="D68">
        <f>$C$7+((ROW()-52)/99*$C$18/1000)/$C$8+$C$5*$C$9-($C$7*($C$11/($C$8+$C$11))+((ROW()-52)/99*$C$18/1000)/$C$11)</f>
        <v/>
      </c>
      <c r="E68">
        <f>$C$7+((ROW()-52)/99*$C$18/1000)/$C$8</f>
        <v/>
      </c>
      <c r="G68">
        <f>$H$18*(1-EXP(-(ROW()-52)/99*$H$15/$H$17))</f>
        <v/>
      </c>
      <c r="H68">
        <f>$H$6+$H$4</f>
        <v/>
      </c>
      <c r="I68">
        <f>$H$6+$H$4-($H$6*($H$10/($H$7+$H$10))+($H$18*(1-EXP(-(ROW()-52)/99*$H$15/$H$17))/1000)/$H$10)</f>
        <v/>
      </c>
      <c r="J68">
        <f>$H$6+($H$18*(1-EXP(-(ROW()-52)/99*$H$15/$H$17))/1000)/$H$7</f>
        <v/>
      </c>
    </row>
    <row r="69">
      <c r="B69">
        <f>(ROW()-52)/99*$C$18</f>
        <v/>
      </c>
      <c r="C69">
        <f>$C$7+((ROW()-52)/99*$C$18/1000)/$C$8+$C$5*$C$9</f>
        <v/>
      </c>
      <c r="D69">
        <f>$C$7+((ROW()-52)/99*$C$18/1000)/$C$8+$C$5*$C$9-($C$7*($C$11/($C$8+$C$11))+((ROW()-52)/99*$C$18/1000)/$C$11)</f>
        <v/>
      </c>
      <c r="E69">
        <f>$C$7+((ROW()-52)/99*$C$18/1000)/$C$8</f>
        <v/>
      </c>
      <c r="G69">
        <f>$H$18*(1-EXP(-(ROW()-52)/99*$H$15/$H$17))</f>
        <v/>
      </c>
      <c r="H69">
        <f>$H$6+$H$4</f>
        <v/>
      </c>
      <c r="I69">
        <f>$H$6+$H$4-($H$6*($H$10/($H$7+$H$10))+($H$18*(1-EXP(-(ROW()-52)/99*$H$15/$H$17))/1000)/$H$10)</f>
        <v/>
      </c>
      <c r="J69">
        <f>$H$6+($H$18*(1-EXP(-(ROW()-52)/99*$H$15/$H$17))/1000)/$H$7</f>
        <v/>
      </c>
    </row>
    <row r="70">
      <c r="B70">
        <f>(ROW()-52)/99*$C$18</f>
        <v/>
      </c>
      <c r="C70">
        <f>$C$7+((ROW()-52)/99*$C$18/1000)/$C$8+$C$5*$C$9</f>
        <v/>
      </c>
      <c r="D70">
        <f>$C$7+((ROW()-52)/99*$C$18/1000)/$C$8+$C$5*$C$9-($C$7*($C$11/($C$8+$C$11))+((ROW()-52)/99*$C$18/1000)/$C$11)</f>
        <v/>
      </c>
      <c r="E70">
        <f>$C$7+((ROW()-52)/99*$C$18/1000)/$C$8</f>
        <v/>
      </c>
      <c r="G70">
        <f>$H$18*(1-EXP(-(ROW()-52)/99*$H$15/$H$17))</f>
        <v/>
      </c>
      <c r="H70">
        <f>$H$6+$H$4</f>
        <v/>
      </c>
      <c r="I70">
        <f>$H$6+$H$4-($H$6*($H$10/($H$7+$H$10))+($H$18*(1-EXP(-(ROW()-52)/99*$H$15/$H$17))/1000)/$H$10)</f>
        <v/>
      </c>
      <c r="J70">
        <f>$H$6+($H$18*(1-EXP(-(ROW()-52)/99*$H$15/$H$17))/1000)/$H$7</f>
        <v/>
      </c>
    </row>
    <row r="71">
      <c r="B71">
        <f>(ROW()-52)/99*$C$18</f>
        <v/>
      </c>
      <c r="C71">
        <f>$C$7+((ROW()-52)/99*$C$18/1000)/$C$8+$C$5*$C$9</f>
        <v/>
      </c>
      <c r="D71">
        <f>$C$7+((ROW()-52)/99*$C$18/1000)/$C$8+$C$5*$C$9-($C$7*($C$11/($C$8+$C$11))+((ROW()-52)/99*$C$18/1000)/$C$11)</f>
        <v/>
      </c>
      <c r="E71">
        <f>$C$7+((ROW()-52)/99*$C$18/1000)/$C$8</f>
        <v/>
      </c>
      <c r="G71">
        <f>$H$18*(1-EXP(-(ROW()-52)/99*$H$15/$H$17))</f>
        <v/>
      </c>
      <c r="H71">
        <f>$H$6+$H$4</f>
        <v/>
      </c>
      <c r="I71">
        <f>$H$6+$H$4-($H$6*($H$10/($H$7+$H$10))+($H$18*(1-EXP(-(ROW()-52)/99*$H$15/$H$17))/1000)/$H$10)</f>
        <v/>
      </c>
      <c r="J71">
        <f>$H$6+($H$18*(1-EXP(-(ROW()-52)/99*$H$15/$H$17))/1000)/$H$7</f>
        <v/>
      </c>
    </row>
    <row r="72">
      <c r="B72">
        <f>(ROW()-52)/99*$C$18</f>
        <v/>
      </c>
      <c r="C72">
        <f>$C$7+((ROW()-52)/99*$C$18/1000)/$C$8+$C$5*$C$9</f>
        <v/>
      </c>
      <c r="D72">
        <f>$C$7+((ROW()-52)/99*$C$18/1000)/$C$8+$C$5*$C$9-($C$7*($C$11/($C$8+$C$11))+((ROW()-52)/99*$C$18/1000)/$C$11)</f>
        <v/>
      </c>
      <c r="E72">
        <f>$C$7+((ROW()-52)/99*$C$18/1000)/$C$8</f>
        <v/>
      </c>
      <c r="G72">
        <f>$H$18*(1-EXP(-(ROW()-52)/99*$H$15/$H$17))</f>
        <v/>
      </c>
      <c r="H72">
        <f>$H$6+$H$4</f>
        <v/>
      </c>
      <c r="I72">
        <f>$H$6+$H$4-($H$6*($H$10/($H$7+$H$10))+($H$18*(1-EXP(-(ROW()-52)/99*$H$15/$H$17))/1000)/$H$10)</f>
        <v/>
      </c>
      <c r="J72">
        <f>$H$6+($H$18*(1-EXP(-(ROW()-52)/99*$H$15/$H$17))/1000)/$H$7</f>
        <v/>
      </c>
    </row>
    <row r="73">
      <c r="B73">
        <f>(ROW()-52)/99*$C$18</f>
        <v/>
      </c>
      <c r="C73">
        <f>$C$7+((ROW()-52)/99*$C$18/1000)/$C$8+$C$5*$C$9</f>
        <v/>
      </c>
      <c r="D73">
        <f>$C$7+((ROW()-52)/99*$C$18/1000)/$C$8+$C$5*$C$9-($C$7*($C$11/($C$8+$C$11))+((ROW()-52)/99*$C$18/1000)/$C$11)</f>
        <v/>
      </c>
      <c r="E73">
        <f>$C$7+((ROW()-52)/99*$C$18/1000)/$C$8</f>
        <v/>
      </c>
      <c r="G73">
        <f>$H$18*(1-EXP(-(ROW()-52)/99*$H$15/$H$17))</f>
        <v/>
      </c>
      <c r="H73">
        <f>$H$6+$H$4</f>
        <v/>
      </c>
      <c r="I73">
        <f>$H$6+$H$4-($H$6*($H$10/($H$7+$H$10))+($H$18*(1-EXP(-(ROW()-52)/99*$H$15/$H$17))/1000)/$H$10)</f>
        <v/>
      </c>
      <c r="J73">
        <f>$H$6+($H$18*(1-EXP(-(ROW()-52)/99*$H$15/$H$17))/1000)/$H$7</f>
        <v/>
      </c>
    </row>
    <row r="74">
      <c r="B74">
        <f>(ROW()-52)/99*$C$18</f>
        <v/>
      </c>
      <c r="C74">
        <f>$C$7+((ROW()-52)/99*$C$18/1000)/$C$8+$C$5*$C$9</f>
        <v/>
      </c>
      <c r="D74">
        <f>$C$7+((ROW()-52)/99*$C$18/1000)/$C$8+$C$5*$C$9-($C$7*($C$11/($C$8+$C$11))+((ROW()-52)/99*$C$18/1000)/$C$11)</f>
        <v/>
      </c>
      <c r="E74">
        <f>$C$7+((ROW()-52)/99*$C$18/1000)/$C$8</f>
        <v/>
      </c>
      <c r="G74">
        <f>$H$18*(1-EXP(-(ROW()-52)/99*$H$15/$H$17))</f>
        <v/>
      </c>
      <c r="H74">
        <f>$H$6+$H$4</f>
        <v/>
      </c>
      <c r="I74">
        <f>$H$6+$H$4-($H$6*($H$10/($H$7+$H$10))+($H$18*(1-EXP(-(ROW()-52)/99*$H$15/$H$17))/1000)/$H$10)</f>
        <v/>
      </c>
      <c r="J74">
        <f>$H$6+($H$18*(1-EXP(-(ROW()-52)/99*$H$15/$H$17))/1000)/$H$7</f>
        <v/>
      </c>
    </row>
    <row r="75">
      <c r="B75">
        <f>(ROW()-52)/99*$C$18</f>
        <v/>
      </c>
      <c r="C75">
        <f>$C$7+((ROW()-52)/99*$C$18/1000)/$C$8+$C$5*$C$9</f>
        <v/>
      </c>
      <c r="D75">
        <f>$C$7+((ROW()-52)/99*$C$18/1000)/$C$8+$C$5*$C$9-($C$7*($C$11/($C$8+$C$11))+((ROW()-52)/99*$C$18/1000)/$C$11)</f>
        <v/>
      </c>
      <c r="E75">
        <f>$C$7+((ROW()-52)/99*$C$18/1000)/$C$8</f>
        <v/>
      </c>
      <c r="G75">
        <f>$H$18*(1-EXP(-(ROW()-52)/99*$H$15/$H$17))</f>
        <v/>
      </c>
      <c r="H75">
        <f>$H$6+$H$4</f>
        <v/>
      </c>
      <c r="I75">
        <f>$H$6+$H$4-($H$6*($H$10/($H$7+$H$10))+($H$18*(1-EXP(-(ROW()-52)/99*$H$15/$H$17))/1000)/$H$10)</f>
        <v/>
      </c>
      <c r="J75">
        <f>$H$6+($H$18*(1-EXP(-(ROW()-52)/99*$H$15/$H$17))/1000)/$H$7</f>
        <v/>
      </c>
    </row>
    <row r="76">
      <c r="B76">
        <f>(ROW()-52)/99*$C$18</f>
        <v/>
      </c>
      <c r="C76">
        <f>$C$7+((ROW()-52)/99*$C$18/1000)/$C$8+$C$5*$C$9</f>
        <v/>
      </c>
      <c r="D76">
        <f>$C$7+((ROW()-52)/99*$C$18/1000)/$C$8+$C$5*$C$9-($C$7*($C$11/($C$8+$C$11))+((ROW()-52)/99*$C$18/1000)/$C$11)</f>
        <v/>
      </c>
      <c r="E76">
        <f>$C$7+((ROW()-52)/99*$C$18/1000)/$C$8</f>
        <v/>
      </c>
      <c r="G76">
        <f>$H$18*(1-EXP(-(ROW()-52)/99*$H$15/$H$17))</f>
        <v/>
      </c>
      <c r="H76">
        <f>$H$6+$H$4</f>
        <v/>
      </c>
      <c r="I76">
        <f>$H$6+$H$4-($H$6*($H$10/($H$7+$H$10))+($H$18*(1-EXP(-(ROW()-52)/99*$H$15/$H$17))/1000)/$H$10)</f>
        <v/>
      </c>
      <c r="J76">
        <f>$H$6+($H$18*(1-EXP(-(ROW()-52)/99*$H$15/$H$17))/1000)/$H$7</f>
        <v/>
      </c>
    </row>
    <row r="77">
      <c r="B77">
        <f>(ROW()-52)/99*$C$18</f>
        <v/>
      </c>
      <c r="C77">
        <f>$C$7+((ROW()-52)/99*$C$18/1000)/$C$8+$C$5*$C$9</f>
        <v/>
      </c>
      <c r="D77">
        <f>$C$7+((ROW()-52)/99*$C$18/1000)/$C$8+$C$5*$C$9-($C$7*($C$11/($C$8+$C$11))+((ROW()-52)/99*$C$18/1000)/$C$11)</f>
        <v/>
      </c>
      <c r="E77">
        <f>$C$7+((ROW()-52)/99*$C$18/1000)/$C$8</f>
        <v/>
      </c>
      <c r="G77">
        <f>$H$18*(1-EXP(-(ROW()-52)/99*$H$15/$H$17))</f>
        <v/>
      </c>
      <c r="H77">
        <f>$H$6+$H$4</f>
        <v/>
      </c>
      <c r="I77">
        <f>$H$6+$H$4-($H$6*($H$10/($H$7+$H$10))+($H$18*(1-EXP(-(ROW()-52)/99*$H$15/$H$17))/1000)/$H$10)</f>
        <v/>
      </c>
      <c r="J77">
        <f>$H$6+($H$18*(1-EXP(-(ROW()-52)/99*$H$15/$H$17))/1000)/$H$7</f>
        <v/>
      </c>
    </row>
    <row r="78">
      <c r="B78">
        <f>(ROW()-52)/99*$C$18</f>
        <v/>
      </c>
      <c r="C78">
        <f>$C$7+((ROW()-52)/99*$C$18/1000)/$C$8+$C$5*$C$9</f>
        <v/>
      </c>
      <c r="D78">
        <f>$C$7+((ROW()-52)/99*$C$18/1000)/$C$8+$C$5*$C$9-($C$7*($C$11/($C$8+$C$11))+((ROW()-52)/99*$C$18/1000)/$C$11)</f>
        <v/>
      </c>
      <c r="E78">
        <f>$C$7+((ROW()-52)/99*$C$18/1000)/$C$8</f>
        <v/>
      </c>
      <c r="G78">
        <f>$H$18*(1-EXP(-(ROW()-52)/99*$H$15/$H$17))</f>
        <v/>
      </c>
      <c r="H78">
        <f>$H$6+$H$4</f>
        <v/>
      </c>
      <c r="I78">
        <f>$H$6+$H$4-($H$6*($H$10/($H$7+$H$10))+($H$18*(1-EXP(-(ROW()-52)/99*$H$15/$H$17))/1000)/$H$10)</f>
        <v/>
      </c>
      <c r="J78">
        <f>$H$6+($H$18*(1-EXP(-(ROW()-52)/99*$H$15/$H$17))/1000)/$H$7</f>
        <v/>
      </c>
    </row>
    <row r="79">
      <c r="B79">
        <f>(ROW()-52)/99*$C$18</f>
        <v/>
      </c>
      <c r="C79">
        <f>$C$7+((ROW()-52)/99*$C$18/1000)/$C$8+$C$5*$C$9</f>
        <v/>
      </c>
      <c r="D79">
        <f>$C$7+((ROW()-52)/99*$C$18/1000)/$C$8+$C$5*$C$9-($C$7*($C$11/($C$8+$C$11))+((ROW()-52)/99*$C$18/1000)/$C$11)</f>
        <v/>
      </c>
      <c r="E79">
        <f>$C$7+((ROW()-52)/99*$C$18/1000)/$C$8</f>
        <v/>
      </c>
      <c r="G79">
        <f>$H$18*(1-EXP(-(ROW()-52)/99*$H$15/$H$17))</f>
        <v/>
      </c>
      <c r="H79">
        <f>$H$6+$H$4</f>
        <v/>
      </c>
      <c r="I79">
        <f>$H$6+$H$4-($H$6*($H$10/($H$7+$H$10))+($H$18*(1-EXP(-(ROW()-52)/99*$H$15/$H$17))/1000)/$H$10)</f>
        <v/>
      </c>
      <c r="J79">
        <f>$H$6+($H$18*(1-EXP(-(ROW()-52)/99*$H$15/$H$17))/1000)/$H$7</f>
        <v/>
      </c>
    </row>
    <row r="80">
      <c r="B80">
        <f>(ROW()-52)/99*$C$18</f>
        <v/>
      </c>
      <c r="C80">
        <f>$C$7+((ROW()-52)/99*$C$18/1000)/$C$8+$C$5*$C$9</f>
        <v/>
      </c>
      <c r="D80">
        <f>$C$7+((ROW()-52)/99*$C$18/1000)/$C$8+$C$5*$C$9-($C$7*($C$11/($C$8+$C$11))+((ROW()-52)/99*$C$18/1000)/$C$11)</f>
        <v/>
      </c>
      <c r="E80">
        <f>$C$7+((ROW()-52)/99*$C$18/1000)/$C$8</f>
        <v/>
      </c>
      <c r="G80">
        <f>$H$18*(1-EXP(-(ROW()-52)/99*$H$15/$H$17))</f>
        <v/>
      </c>
      <c r="H80">
        <f>$H$6+$H$4</f>
        <v/>
      </c>
      <c r="I80">
        <f>$H$6+$H$4-($H$6*($H$10/($H$7+$H$10))+($H$18*(1-EXP(-(ROW()-52)/99*$H$15/$H$17))/1000)/$H$10)</f>
        <v/>
      </c>
      <c r="J80">
        <f>$H$6+($H$18*(1-EXP(-(ROW()-52)/99*$H$15/$H$17))/1000)/$H$7</f>
        <v/>
      </c>
    </row>
    <row r="81">
      <c r="B81">
        <f>(ROW()-52)/99*$C$18</f>
        <v/>
      </c>
      <c r="C81">
        <f>$C$7+((ROW()-52)/99*$C$18/1000)/$C$8+$C$5*$C$9</f>
        <v/>
      </c>
      <c r="D81">
        <f>$C$7+((ROW()-52)/99*$C$18/1000)/$C$8+$C$5*$C$9-($C$7*($C$11/($C$8+$C$11))+((ROW()-52)/99*$C$18/1000)/$C$11)</f>
        <v/>
      </c>
      <c r="E81">
        <f>$C$7+((ROW()-52)/99*$C$18/1000)/$C$8</f>
        <v/>
      </c>
      <c r="G81">
        <f>$H$18*(1-EXP(-(ROW()-52)/99*$H$15/$H$17))</f>
        <v/>
      </c>
      <c r="H81">
        <f>$H$6+$H$4</f>
        <v/>
      </c>
      <c r="I81">
        <f>$H$6+$H$4-($H$6*($H$10/($H$7+$H$10))+($H$18*(1-EXP(-(ROW()-52)/99*$H$15/$H$17))/1000)/$H$10)</f>
        <v/>
      </c>
      <c r="J81">
        <f>$H$6+($H$18*(1-EXP(-(ROW()-52)/99*$H$15/$H$17))/1000)/$H$7</f>
        <v/>
      </c>
    </row>
    <row r="82">
      <c r="B82">
        <f>(ROW()-52)/99*$C$18</f>
        <v/>
      </c>
      <c r="C82">
        <f>$C$7+((ROW()-52)/99*$C$18/1000)/$C$8+$C$5*$C$9</f>
        <v/>
      </c>
      <c r="D82">
        <f>$C$7+((ROW()-52)/99*$C$18/1000)/$C$8+$C$5*$C$9-($C$7*($C$11/($C$8+$C$11))+((ROW()-52)/99*$C$18/1000)/$C$11)</f>
        <v/>
      </c>
      <c r="E82">
        <f>$C$7+((ROW()-52)/99*$C$18/1000)/$C$8</f>
        <v/>
      </c>
      <c r="G82">
        <f>$H$18*(1-EXP(-(ROW()-52)/99*$H$15/$H$17))</f>
        <v/>
      </c>
      <c r="H82">
        <f>$H$6+$H$4</f>
        <v/>
      </c>
      <c r="I82">
        <f>$H$6+$H$4-($H$6*($H$10/($H$7+$H$10))+($H$18*(1-EXP(-(ROW()-52)/99*$H$15/$H$17))/1000)/$H$10)</f>
        <v/>
      </c>
      <c r="J82">
        <f>$H$6+($H$18*(1-EXP(-(ROW()-52)/99*$H$15/$H$17))/1000)/$H$7</f>
        <v/>
      </c>
    </row>
    <row r="83">
      <c r="B83">
        <f>(ROW()-52)/99*$C$18</f>
        <v/>
      </c>
      <c r="C83">
        <f>$C$7+((ROW()-52)/99*$C$18/1000)/$C$8+$C$5*$C$9</f>
        <v/>
      </c>
      <c r="D83">
        <f>$C$7+((ROW()-52)/99*$C$18/1000)/$C$8+$C$5*$C$9-($C$7*($C$11/($C$8+$C$11))+((ROW()-52)/99*$C$18/1000)/$C$11)</f>
        <v/>
      </c>
      <c r="E83">
        <f>$C$7+((ROW()-52)/99*$C$18/1000)/$C$8</f>
        <v/>
      </c>
      <c r="G83">
        <f>$H$18*(1-EXP(-(ROW()-52)/99*$H$15/$H$17))</f>
        <v/>
      </c>
      <c r="H83">
        <f>$H$6+$H$4</f>
        <v/>
      </c>
      <c r="I83">
        <f>$H$6+$H$4-($H$6*($H$10/($H$7+$H$10))+($H$18*(1-EXP(-(ROW()-52)/99*$H$15/$H$17))/1000)/$H$10)</f>
        <v/>
      </c>
      <c r="J83">
        <f>$H$6+($H$18*(1-EXP(-(ROW()-52)/99*$H$15/$H$17))/1000)/$H$7</f>
        <v/>
      </c>
    </row>
    <row r="84">
      <c r="B84">
        <f>(ROW()-52)/99*$C$18</f>
        <v/>
      </c>
      <c r="C84">
        <f>$C$7+((ROW()-52)/99*$C$18/1000)/$C$8+$C$5*$C$9</f>
        <v/>
      </c>
      <c r="D84">
        <f>$C$7+((ROW()-52)/99*$C$18/1000)/$C$8+$C$5*$C$9-($C$7*($C$11/($C$8+$C$11))+((ROW()-52)/99*$C$18/1000)/$C$11)</f>
        <v/>
      </c>
      <c r="E84">
        <f>$C$7+((ROW()-52)/99*$C$18/1000)/$C$8</f>
        <v/>
      </c>
      <c r="G84">
        <f>$H$18*(1-EXP(-(ROW()-52)/99*$H$15/$H$17))</f>
        <v/>
      </c>
      <c r="H84">
        <f>$H$6+$H$4</f>
        <v/>
      </c>
      <c r="I84">
        <f>$H$6+$H$4-($H$6*($H$10/($H$7+$H$10))+($H$18*(1-EXP(-(ROW()-52)/99*$H$15/$H$17))/1000)/$H$10)</f>
        <v/>
      </c>
      <c r="J84">
        <f>$H$6+($H$18*(1-EXP(-(ROW()-52)/99*$H$15/$H$17))/1000)/$H$7</f>
        <v/>
      </c>
    </row>
    <row r="85">
      <c r="B85">
        <f>(ROW()-52)/99*$C$18</f>
        <v/>
      </c>
      <c r="C85">
        <f>$C$7+((ROW()-52)/99*$C$18/1000)/$C$8+$C$5*$C$9</f>
        <v/>
      </c>
      <c r="D85">
        <f>$C$7+((ROW()-52)/99*$C$18/1000)/$C$8+$C$5*$C$9-($C$7*($C$11/($C$8+$C$11))+((ROW()-52)/99*$C$18/1000)/$C$11)</f>
        <v/>
      </c>
      <c r="E85">
        <f>$C$7+((ROW()-52)/99*$C$18/1000)/$C$8</f>
        <v/>
      </c>
      <c r="G85">
        <f>$H$18*(1-EXP(-(ROW()-52)/99*$H$15/$H$17))</f>
        <v/>
      </c>
      <c r="H85">
        <f>$H$6+$H$4</f>
        <v/>
      </c>
      <c r="I85">
        <f>$H$6+$H$4-($H$6*($H$10/($H$7+$H$10))+($H$18*(1-EXP(-(ROW()-52)/99*$H$15/$H$17))/1000)/$H$10)</f>
        <v/>
      </c>
      <c r="J85">
        <f>$H$6+($H$18*(1-EXP(-(ROW()-52)/99*$H$15/$H$17))/1000)/$H$7</f>
        <v/>
      </c>
    </row>
    <row r="86">
      <c r="B86">
        <f>(ROW()-52)/99*$C$18</f>
        <v/>
      </c>
      <c r="C86">
        <f>$C$7+((ROW()-52)/99*$C$18/1000)/$C$8+$C$5*$C$9</f>
        <v/>
      </c>
      <c r="D86">
        <f>$C$7+((ROW()-52)/99*$C$18/1000)/$C$8+$C$5*$C$9-($C$7*($C$11/($C$8+$C$11))+((ROW()-52)/99*$C$18/1000)/$C$11)</f>
        <v/>
      </c>
      <c r="E86">
        <f>$C$7+((ROW()-52)/99*$C$18/1000)/$C$8</f>
        <v/>
      </c>
      <c r="G86">
        <f>$H$18*(1-EXP(-(ROW()-52)/99*$H$15/$H$17))</f>
        <v/>
      </c>
      <c r="H86">
        <f>$H$6+$H$4</f>
        <v/>
      </c>
      <c r="I86">
        <f>$H$6+$H$4-($H$6*($H$10/($H$7+$H$10))+($H$18*(1-EXP(-(ROW()-52)/99*$H$15/$H$17))/1000)/$H$10)</f>
        <v/>
      </c>
      <c r="J86">
        <f>$H$6+($H$18*(1-EXP(-(ROW()-52)/99*$H$15/$H$17))/1000)/$H$7</f>
        <v/>
      </c>
    </row>
    <row r="87">
      <c r="B87">
        <f>(ROW()-52)/99*$C$18</f>
        <v/>
      </c>
      <c r="C87">
        <f>$C$7+((ROW()-52)/99*$C$18/1000)/$C$8+$C$5*$C$9</f>
        <v/>
      </c>
      <c r="D87">
        <f>$C$7+((ROW()-52)/99*$C$18/1000)/$C$8+$C$5*$C$9-($C$7*($C$11/($C$8+$C$11))+((ROW()-52)/99*$C$18/1000)/$C$11)</f>
        <v/>
      </c>
      <c r="E87">
        <f>$C$7+((ROW()-52)/99*$C$18/1000)/$C$8</f>
        <v/>
      </c>
      <c r="G87">
        <f>$H$18*(1-EXP(-(ROW()-52)/99*$H$15/$H$17))</f>
        <v/>
      </c>
      <c r="H87">
        <f>$H$6+$H$4</f>
        <v/>
      </c>
      <c r="I87">
        <f>$H$6+$H$4-($H$6*($H$10/($H$7+$H$10))+($H$18*(1-EXP(-(ROW()-52)/99*$H$15/$H$17))/1000)/$H$10)</f>
        <v/>
      </c>
      <c r="J87">
        <f>$H$6+($H$18*(1-EXP(-(ROW()-52)/99*$H$15/$H$17))/1000)/$H$7</f>
        <v/>
      </c>
    </row>
    <row r="88">
      <c r="B88">
        <f>(ROW()-52)/99*$C$18</f>
        <v/>
      </c>
      <c r="C88">
        <f>$C$7+((ROW()-52)/99*$C$18/1000)/$C$8+$C$5*$C$9</f>
        <v/>
      </c>
      <c r="D88">
        <f>$C$7+((ROW()-52)/99*$C$18/1000)/$C$8+$C$5*$C$9-($C$7*($C$11/($C$8+$C$11))+((ROW()-52)/99*$C$18/1000)/$C$11)</f>
        <v/>
      </c>
      <c r="E88">
        <f>$C$7+((ROW()-52)/99*$C$18/1000)/$C$8</f>
        <v/>
      </c>
      <c r="G88">
        <f>$H$18*(1-EXP(-(ROW()-52)/99*$H$15/$H$17))</f>
        <v/>
      </c>
      <c r="H88">
        <f>$H$6+$H$4</f>
        <v/>
      </c>
      <c r="I88">
        <f>$H$6+$H$4-($H$6*($H$10/($H$7+$H$10))+($H$18*(1-EXP(-(ROW()-52)/99*$H$15/$H$17))/1000)/$H$10)</f>
        <v/>
      </c>
      <c r="J88">
        <f>$H$6+($H$18*(1-EXP(-(ROW()-52)/99*$H$15/$H$17))/1000)/$H$7</f>
        <v/>
      </c>
    </row>
    <row r="89">
      <c r="B89">
        <f>(ROW()-52)/99*$C$18</f>
        <v/>
      </c>
      <c r="C89">
        <f>$C$7+((ROW()-52)/99*$C$18/1000)/$C$8+$C$5*$C$9</f>
        <v/>
      </c>
      <c r="D89">
        <f>$C$7+((ROW()-52)/99*$C$18/1000)/$C$8+$C$5*$C$9-($C$7*($C$11/($C$8+$C$11))+((ROW()-52)/99*$C$18/1000)/$C$11)</f>
        <v/>
      </c>
      <c r="E89">
        <f>$C$7+((ROW()-52)/99*$C$18/1000)/$C$8</f>
        <v/>
      </c>
      <c r="G89">
        <f>$H$18*(1-EXP(-(ROW()-52)/99*$H$15/$H$17))</f>
        <v/>
      </c>
      <c r="H89">
        <f>$H$6+$H$4</f>
        <v/>
      </c>
      <c r="I89">
        <f>$H$6+$H$4-($H$6*($H$10/($H$7+$H$10))+($H$18*(1-EXP(-(ROW()-52)/99*$H$15/$H$17))/1000)/$H$10)</f>
        <v/>
      </c>
      <c r="J89">
        <f>$H$6+($H$18*(1-EXP(-(ROW()-52)/99*$H$15/$H$17))/1000)/$H$7</f>
        <v/>
      </c>
    </row>
    <row r="90">
      <c r="B90">
        <f>(ROW()-52)/99*$C$18</f>
        <v/>
      </c>
      <c r="C90">
        <f>$C$7+((ROW()-52)/99*$C$18/1000)/$C$8+$C$5*$C$9</f>
        <v/>
      </c>
      <c r="D90">
        <f>$C$7+((ROW()-52)/99*$C$18/1000)/$C$8+$C$5*$C$9-($C$7*($C$11/($C$8+$C$11))+((ROW()-52)/99*$C$18/1000)/$C$11)</f>
        <v/>
      </c>
      <c r="E90">
        <f>$C$7+((ROW()-52)/99*$C$18/1000)/$C$8</f>
        <v/>
      </c>
      <c r="G90">
        <f>$H$18*(1-EXP(-(ROW()-52)/99*$H$15/$H$17))</f>
        <v/>
      </c>
      <c r="H90">
        <f>$H$6+$H$4</f>
        <v/>
      </c>
      <c r="I90">
        <f>$H$6+$H$4-($H$6*($H$10/($H$7+$H$10))+($H$18*(1-EXP(-(ROW()-52)/99*$H$15/$H$17))/1000)/$H$10)</f>
        <v/>
      </c>
      <c r="J90">
        <f>$H$6+($H$18*(1-EXP(-(ROW()-52)/99*$H$15/$H$17))/1000)/$H$7</f>
        <v/>
      </c>
    </row>
    <row r="91">
      <c r="B91">
        <f>(ROW()-52)/99*$C$18</f>
        <v/>
      </c>
      <c r="C91">
        <f>$C$7+((ROW()-52)/99*$C$18/1000)/$C$8+$C$5*$C$9</f>
        <v/>
      </c>
      <c r="D91">
        <f>$C$7+((ROW()-52)/99*$C$18/1000)/$C$8+$C$5*$C$9-($C$7*($C$11/($C$8+$C$11))+((ROW()-52)/99*$C$18/1000)/$C$11)</f>
        <v/>
      </c>
      <c r="E91">
        <f>$C$7+((ROW()-52)/99*$C$18/1000)/$C$8</f>
        <v/>
      </c>
      <c r="G91">
        <f>$H$18*(1-EXP(-(ROW()-52)/99*$H$15/$H$17))</f>
        <v/>
      </c>
      <c r="H91">
        <f>$H$6+$H$4</f>
        <v/>
      </c>
      <c r="I91">
        <f>$H$6+$H$4-($H$6*($H$10/($H$7+$H$10))+($H$18*(1-EXP(-(ROW()-52)/99*$H$15/$H$17))/1000)/$H$10)</f>
        <v/>
      </c>
      <c r="J91">
        <f>$H$6+($H$18*(1-EXP(-(ROW()-52)/99*$H$15/$H$17))/1000)/$H$7</f>
        <v/>
      </c>
    </row>
    <row r="92">
      <c r="B92">
        <f>(ROW()-52)/99*$C$18</f>
        <v/>
      </c>
      <c r="C92">
        <f>$C$7+((ROW()-52)/99*$C$18/1000)/$C$8+$C$5*$C$9</f>
        <v/>
      </c>
      <c r="D92">
        <f>$C$7+((ROW()-52)/99*$C$18/1000)/$C$8+$C$5*$C$9-($C$7*($C$11/($C$8+$C$11))+((ROW()-52)/99*$C$18/1000)/$C$11)</f>
        <v/>
      </c>
      <c r="E92">
        <f>$C$7+((ROW()-52)/99*$C$18/1000)/$C$8</f>
        <v/>
      </c>
      <c r="G92">
        <f>$H$18*(1-EXP(-(ROW()-52)/99*$H$15/$H$17))</f>
        <v/>
      </c>
      <c r="H92">
        <f>$H$6+$H$4</f>
        <v/>
      </c>
      <c r="I92">
        <f>$H$6+$H$4-($H$6*($H$10/($H$7+$H$10))+($H$18*(1-EXP(-(ROW()-52)/99*$H$15/$H$17))/1000)/$H$10)</f>
        <v/>
      </c>
      <c r="J92">
        <f>$H$6+($H$18*(1-EXP(-(ROW()-52)/99*$H$15/$H$17))/1000)/$H$7</f>
        <v/>
      </c>
    </row>
    <row r="93">
      <c r="B93">
        <f>(ROW()-52)/99*$C$18</f>
        <v/>
      </c>
      <c r="C93">
        <f>$C$7+((ROW()-52)/99*$C$18/1000)/$C$8+$C$5*$C$9</f>
        <v/>
      </c>
      <c r="D93">
        <f>$C$7+((ROW()-52)/99*$C$18/1000)/$C$8+$C$5*$C$9-($C$7*($C$11/($C$8+$C$11))+((ROW()-52)/99*$C$18/1000)/$C$11)</f>
        <v/>
      </c>
      <c r="E93">
        <f>$C$7+((ROW()-52)/99*$C$18/1000)/$C$8</f>
        <v/>
      </c>
      <c r="G93">
        <f>$H$18*(1-EXP(-(ROW()-52)/99*$H$15/$H$17))</f>
        <v/>
      </c>
      <c r="H93">
        <f>$H$6+$H$4</f>
        <v/>
      </c>
      <c r="I93">
        <f>$H$6+$H$4-($H$6*($H$10/($H$7+$H$10))+($H$18*(1-EXP(-(ROW()-52)/99*$H$15/$H$17))/1000)/$H$10)</f>
        <v/>
      </c>
      <c r="J93">
        <f>$H$6+($H$18*(1-EXP(-(ROW()-52)/99*$H$15/$H$17))/1000)/$H$7</f>
        <v/>
      </c>
    </row>
    <row r="94">
      <c r="B94">
        <f>(ROW()-52)/99*$C$18</f>
        <v/>
      </c>
      <c r="C94">
        <f>$C$7+((ROW()-52)/99*$C$18/1000)/$C$8+$C$5*$C$9</f>
        <v/>
      </c>
      <c r="D94">
        <f>$C$7+((ROW()-52)/99*$C$18/1000)/$C$8+$C$5*$C$9-($C$7*($C$11/($C$8+$C$11))+((ROW()-52)/99*$C$18/1000)/$C$11)</f>
        <v/>
      </c>
      <c r="E94">
        <f>$C$7+((ROW()-52)/99*$C$18/1000)/$C$8</f>
        <v/>
      </c>
      <c r="G94">
        <f>$H$18*(1-EXP(-(ROW()-52)/99*$H$15/$H$17))</f>
        <v/>
      </c>
      <c r="H94">
        <f>$H$6+$H$4</f>
        <v/>
      </c>
      <c r="I94">
        <f>$H$6+$H$4-($H$6*($H$10/($H$7+$H$10))+($H$18*(1-EXP(-(ROW()-52)/99*$H$15/$H$17))/1000)/$H$10)</f>
        <v/>
      </c>
      <c r="J94">
        <f>$H$6+($H$18*(1-EXP(-(ROW()-52)/99*$H$15/$H$17))/1000)/$H$7</f>
        <v/>
      </c>
    </row>
    <row r="95">
      <c r="B95">
        <f>(ROW()-52)/99*$C$18</f>
        <v/>
      </c>
      <c r="C95">
        <f>$C$7+((ROW()-52)/99*$C$18/1000)/$C$8+$C$5*$C$9</f>
        <v/>
      </c>
      <c r="D95">
        <f>$C$7+((ROW()-52)/99*$C$18/1000)/$C$8+$C$5*$C$9-($C$7*($C$11/($C$8+$C$11))+((ROW()-52)/99*$C$18/1000)/$C$11)</f>
        <v/>
      </c>
      <c r="E95">
        <f>$C$7+((ROW()-52)/99*$C$18/1000)/$C$8</f>
        <v/>
      </c>
      <c r="G95">
        <f>$H$18*(1-EXP(-(ROW()-52)/99*$H$15/$H$17))</f>
        <v/>
      </c>
      <c r="H95">
        <f>$H$6+$H$4</f>
        <v/>
      </c>
      <c r="I95">
        <f>$H$6+$H$4-($H$6*($H$10/($H$7+$H$10))+($H$18*(1-EXP(-(ROW()-52)/99*$H$15/$H$17))/1000)/$H$10)</f>
        <v/>
      </c>
      <c r="J95">
        <f>$H$6+($H$18*(1-EXP(-(ROW()-52)/99*$H$15/$H$17))/1000)/$H$7</f>
        <v/>
      </c>
    </row>
    <row r="96">
      <c r="B96">
        <f>(ROW()-52)/99*$C$18</f>
        <v/>
      </c>
      <c r="C96">
        <f>$C$7+((ROW()-52)/99*$C$18/1000)/$C$8+$C$5*$C$9</f>
        <v/>
      </c>
      <c r="D96">
        <f>$C$7+((ROW()-52)/99*$C$18/1000)/$C$8+$C$5*$C$9-($C$7*($C$11/($C$8+$C$11))+((ROW()-52)/99*$C$18/1000)/$C$11)</f>
        <v/>
      </c>
      <c r="E96">
        <f>$C$7+((ROW()-52)/99*$C$18/1000)/$C$8</f>
        <v/>
      </c>
      <c r="G96">
        <f>$H$18*(1-EXP(-(ROW()-52)/99*$H$15/$H$17))</f>
        <v/>
      </c>
      <c r="H96">
        <f>$H$6+$H$4</f>
        <v/>
      </c>
      <c r="I96">
        <f>$H$6+$H$4-($H$6*($H$10/($H$7+$H$10))+($H$18*(1-EXP(-(ROW()-52)/99*$H$15/$H$17))/1000)/$H$10)</f>
        <v/>
      </c>
      <c r="J96">
        <f>$H$6+($H$18*(1-EXP(-(ROW()-52)/99*$H$15/$H$17))/1000)/$H$7</f>
        <v/>
      </c>
    </row>
    <row r="97">
      <c r="B97">
        <f>(ROW()-52)/99*$C$18</f>
        <v/>
      </c>
      <c r="C97">
        <f>$C$7+((ROW()-52)/99*$C$18/1000)/$C$8+$C$5*$C$9</f>
        <v/>
      </c>
      <c r="D97">
        <f>$C$7+((ROW()-52)/99*$C$18/1000)/$C$8+$C$5*$C$9-($C$7*($C$11/($C$8+$C$11))+((ROW()-52)/99*$C$18/1000)/$C$11)</f>
        <v/>
      </c>
      <c r="E97">
        <f>$C$7+((ROW()-52)/99*$C$18/1000)/$C$8</f>
        <v/>
      </c>
      <c r="G97">
        <f>$H$18*(1-EXP(-(ROW()-52)/99*$H$15/$H$17))</f>
        <v/>
      </c>
      <c r="H97">
        <f>$H$6+$H$4</f>
        <v/>
      </c>
      <c r="I97">
        <f>$H$6+$H$4-($H$6*($H$10/($H$7+$H$10))+($H$18*(1-EXP(-(ROW()-52)/99*$H$15/$H$17))/1000)/$H$10)</f>
        <v/>
      </c>
      <c r="J97">
        <f>$H$6+($H$18*(1-EXP(-(ROW()-52)/99*$H$15/$H$17))/1000)/$H$7</f>
        <v/>
      </c>
    </row>
    <row r="98">
      <c r="B98">
        <f>(ROW()-52)/99*$C$18</f>
        <v/>
      </c>
      <c r="C98">
        <f>$C$7+((ROW()-52)/99*$C$18/1000)/$C$8+$C$5*$C$9</f>
        <v/>
      </c>
      <c r="D98">
        <f>$C$7+((ROW()-52)/99*$C$18/1000)/$C$8+$C$5*$C$9-($C$7*($C$11/($C$8+$C$11))+((ROW()-52)/99*$C$18/1000)/$C$11)</f>
        <v/>
      </c>
      <c r="E98">
        <f>$C$7+((ROW()-52)/99*$C$18/1000)/$C$8</f>
        <v/>
      </c>
      <c r="G98">
        <f>$H$18*(1-EXP(-(ROW()-52)/99*$H$15/$H$17))</f>
        <v/>
      </c>
      <c r="H98">
        <f>$H$6+$H$4</f>
        <v/>
      </c>
      <c r="I98">
        <f>$H$6+$H$4-($H$6*($H$10/($H$7+$H$10))+($H$18*(1-EXP(-(ROW()-52)/99*$H$15/$H$17))/1000)/$H$10)</f>
        <v/>
      </c>
      <c r="J98">
        <f>$H$6+($H$18*(1-EXP(-(ROW()-52)/99*$H$15/$H$17))/1000)/$H$7</f>
        <v/>
      </c>
    </row>
    <row r="99">
      <c r="B99">
        <f>(ROW()-52)/99*$C$18</f>
        <v/>
      </c>
      <c r="C99">
        <f>$C$7+((ROW()-52)/99*$C$18/1000)/$C$8+$C$5*$C$9</f>
        <v/>
      </c>
      <c r="D99">
        <f>$C$7+((ROW()-52)/99*$C$18/1000)/$C$8+$C$5*$C$9-($C$7*($C$11/($C$8+$C$11))+((ROW()-52)/99*$C$18/1000)/$C$11)</f>
        <v/>
      </c>
      <c r="E99">
        <f>$C$7+((ROW()-52)/99*$C$18/1000)/$C$8</f>
        <v/>
      </c>
      <c r="G99">
        <f>$H$18*(1-EXP(-(ROW()-52)/99*$H$15/$H$17))</f>
        <v/>
      </c>
      <c r="H99">
        <f>$H$6+$H$4</f>
        <v/>
      </c>
      <c r="I99">
        <f>$H$6+$H$4-($H$6*($H$10/($H$7+$H$10))+($H$18*(1-EXP(-(ROW()-52)/99*$H$15/$H$17))/1000)/$H$10)</f>
        <v/>
      </c>
      <c r="J99">
        <f>$H$6+($H$18*(1-EXP(-(ROW()-52)/99*$H$15/$H$17))/1000)/$H$7</f>
        <v/>
      </c>
    </row>
    <row r="100">
      <c r="B100">
        <f>(ROW()-52)/99*$C$18</f>
        <v/>
      </c>
      <c r="C100">
        <f>$C$7+((ROW()-52)/99*$C$18/1000)/$C$8+$C$5*$C$9</f>
        <v/>
      </c>
      <c r="D100">
        <f>$C$7+((ROW()-52)/99*$C$18/1000)/$C$8+$C$5*$C$9-($C$7*($C$11/($C$8+$C$11))+((ROW()-52)/99*$C$18/1000)/$C$11)</f>
        <v/>
      </c>
      <c r="E100">
        <f>$C$7+((ROW()-52)/99*$C$18/1000)/$C$8</f>
        <v/>
      </c>
      <c r="G100">
        <f>$H$18*(1-EXP(-(ROW()-52)/99*$H$15/$H$17))</f>
        <v/>
      </c>
      <c r="H100">
        <f>$H$6+$H$4</f>
        <v/>
      </c>
      <c r="I100">
        <f>$H$6+$H$4-($H$6*($H$10/($H$7+$H$10))+($H$18*(1-EXP(-(ROW()-52)/99*$H$15/$H$17))/1000)/$H$10)</f>
        <v/>
      </c>
      <c r="J100">
        <f>$H$6+($H$18*(1-EXP(-(ROW()-52)/99*$H$15/$H$17))/1000)/$H$7</f>
        <v/>
      </c>
    </row>
    <row r="101">
      <c r="B101">
        <f>(ROW()-52)/99*$C$18</f>
        <v/>
      </c>
      <c r="C101">
        <f>$C$7+((ROW()-52)/99*$C$18/1000)/$C$8+$C$5*$C$9</f>
        <v/>
      </c>
      <c r="D101">
        <f>$C$7+((ROW()-52)/99*$C$18/1000)/$C$8+$C$5*$C$9-($C$7*($C$11/($C$8+$C$11))+((ROW()-52)/99*$C$18/1000)/$C$11)</f>
        <v/>
      </c>
      <c r="E101">
        <f>$C$7+((ROW()-52)/99*$C$18/1000)/$C$8</f>
        <v/>
      </c>
      <c r="G101">
        <f>$H$18*(1-EXP(-(ROW()-52)/99*$H$15/$H$17))</f>
        <v/>
      </c>
      <c r="H101">
        <f>$H$6+$H$4</f>
        <v/>
      </c>
      <c r="I101">
        <f>$H$6+$H$4-($H$6*($H$10/($H$7+$H$10))+($H$18*(1-EXP(-(ROW()-52)/99*$H$15/$H$17))/1000)/$H$10)</f>
        <v/>
      </c>
      <c r="J101">
        <f>$H$6+($H$18*(1-EXP(-(ROW()-52)/99*$H$15/$H$17))/1000)/$H$7</f>
        <v/>
      </c>
    </row>
    <row r="102">
      <c r="B102">
        <f>(ROW()-52)/99*$C$18</f>
        <v/>
      </c>
      <c r="C102">
        <f>$C$7+((ROW()-52)/99*$C$18/1000)/$C$8+$C$5*$C$9</f>
        <v/>
      </c>
      <c r="D102">
        <f>$C$7+((ROW()-52)/99*$C$18/1000)/$C$8+$C$5*$C$9-($C$7*($C$11/($C$8+$C$11))+((ROW()-52)/99*$C$18/1000)/$C$11)</f>
        <v/>
      </c>
      <c r="E102">
        <f>$C$7+((ROW()-52)/99*$C$18/1000)/$C$8</f>
        <v/>
      </c>
      <c r="G102">
        <f>$H$18*(1-EXP(-(ROW()-52)/99*$H$15/$H$17))</f>
        <v/>
      </c>
      <c r="H102">
        <f>$H$6+$H$4</f>
        <v/>
      </c>
      <c r="I102">
        <f>$H$6+$H$4-($H$6*($H$10/($H$7+$H$10))+($H$18*(1-EXP(-(ROW()-52)/99*$H$15/$H$17))/1000)/$H$10)</f>
        <v/>
      </c>
      <c r="J102">
        <f>$H$6+($H$18*(1-EXP(-(ROW()-52)/99*$H$15/$H$17))/1000)/$H$7</f>
        <v/>
      </c>
    </row>
    <row r="103">
      <c r="B103">
        <f>(ROW()-52)/99*$C$18</f>
        <v/>
      </c>
      <c r="C103">
        <f>$C$7+((ROW()-52)/99*$C$18/1000)/$C$8+$C$5*$C$9</f>
        <v/>
      </c>
      <c r="D103">
        <f>$C$7+((ROW()-52)/99*$C$18/1000)/$C$8+$C$5*$C$9-($C$7*($C$11/($C$8+$C$11))+((ROW()-52)/99*$C$18/1000)/$C$11)</f>
        <v/>
      </c>
      <c r="E103">
        <f>$C$7+((ROW()-52)/99*$C$18/1000)/$C$8</f>
        <v/>
      </c>
      <c r="G103">
        <f>$H$18*(1-EXP(-(ROW()-52)/99*$H$15/$H$17))</f>
        <v/>
      </c>
      <c r="H103">
        <f>$H$6+$H$4</f>
        <v/>
      </c>
      <c r="I103">
        <f>$H$6+$H$4-($H$6*($H$10/($H$7+$H$10))+($H$18*(1-EXP(-(ROW()-52)/99*$H$15/$H$17))/1000)/$H$10)</f>
        <v/>
      </c>
      <c r="J103">
        <f>$H$6+($H$18*(1-EXP(-(ROW()-52)/99*$H$15/$H$17))/1000)/$H$7</f>
        <v/>
      </c>
    </row>
    <row r="104">
      <c r="B104">
        <f>(ROW()-52)/99*$C$18</f>
        <v/>
      </c>
      <c r="C104">
        <f>$C$7+((ROW()-52)/99*$C$18/1000)/$C$8+$C$5*$C$9</f>
        <v/>
      </c>
      <c r="D104">
        <f>$C$7+((ROW()-52)/99*$C$18/1000)/$C$8+$C$5*$C$9-($C$7*($C$11/($C$8+$C$11))+((ROW()-52)/99*$C$18/1000)/$C$11)</f>
        <v/>
      </c>
      <c r="E104">
        <f>$C$7+((ROW()-52)/99*$C$18/1000)/$C$8</f>
        <v/>
      </c>
      <c r="G104">
        <f>$H$18*(1-EXP(-(ROW()-52)/99*$H$15/$H$17))</f>
        <v/>
      </c>
      <c r="H104">
        <f>$H$6+$H$4</f>
        <v/>
      </c>
      <c r="I104">
        <f>$H$6+$H$4-($H$6*($H$10/($H$7+$H$10))+($H$18*(1-EXP(-(ROW()-52)/99*$H$15/$H$17))/1000)/$H$10)</f>
        <v/>
      </c>
      <c r="J104">
        <f>$H$6+($H$18*(1-EXP(-(ROW()-52)/99*$H$15/$H$17))/1000)/$H$7</f>
        <v/>
      </c>
    </row>
    <row r="105">
      <c r="B105">
        <f>(ROW()-52)/99*$C$18</f>
        <v/>
      </c>
      <c r="C105">
        <f>$C$7+((ROW()-52)/99*$C$18/1000)/$C$8+$C$5*$C$9</f>
        <v/>
      </c>
      <c r="D105">
        <f>$C$7+((ROW()-52)/99*$C$18/1000)/$C$8+$C$5*$C$9-($C$7*($C$11/($C$8+$C$11))+((ROW()-52)/99*$C$18/1000)/$C$11)</f>
        <v/>
      </c>
      <c r="E105">
        <f>$C$7+((ROW()-52)/99*$C$18/1000)/$C$8</f>
        <v/>
      </c>
      <c r="G105">
        <f>$H$18*(1-EXP(-(ROW()-52)/99*$H$15/$H$17))</f>
        <v/>
      </c>
      <c r="H105">
        <f>$H$6+$H$4</f>
        <v/>
      </c>
      <c r="I105">
        <f>$H$6+$H$4-($H$6*($H$10/($H$7+$H$10))+($H$18*(1-EXP(-(ROW()-52)/99*$H$15/$H$17))/1000)/$H$10)</f>
        <v/>
      </c>
      <c r="J105">
        <f>$H$6+($H$18*(1-EXP(-(ROW()-52)/99*$H$15/$H$17))/1000)/$H$7</f>
        <v/>
      </c>
    </row>
    <row r="106">
      <c r="B106">
        <f>(ROW()-52)/99*$C$18</f>
        <v/>
      </c>
      <c r="C106">
        <f>$C$7+((ROW()-52)/99*$C$18/1000)/$C$8+$C$5*$C$9</f>
        <v/>
      </c>
      <c r="D106">
        <f>$C$7+((ROW()-52)/99*$C$18/1000)/$C$8+$C$5*$C$9-($C$7*($C$11/($C$8+$C$11))+((ROW()-52)/99*$C$18/1000)/$C$11)</f>
        <v/>
      </c>
      <c r="E106">
        <f>$C$7+((ROW()-52)/99*$C$18/1000)/$C$8</f>
        <v/>
      </c>
      <c r="G106">
        <f>$H$18*(1-EXP(-(ROW()-52)/99*$H$15/$H$17))</f>
        <v/>
      </c>
      <c r="H106">
        <f>$H$6+$H$4</f>
        <v/>
      </c>
      <c r="I106">
        <f>$H$6+$H$4-($H$6*($H$10/($H$7+$H$10))+($H$18*(1-EXP(-(ROW()-52)/99*$H$15/$H$17))/1000)/$H$10)</f>
        <v/>
      </c>
      <c r="J106">
        <f>$H$6+($H$18*(1-EXP(-(ROW()-52)/99*$H$15/$H$17))/1000)/$H$7</f>
        <v/>
      </c>
    </row>
    <row r="107">
      <c r="B107">
        <f>(ROW()-52)/99*$C$18</f>
        <v/>
      </c>
      <c r="C107">
        <f>$C$7+((ROW()-52)/99*$C$18/1000)/$C$8+$C$5*$C$9</f>
        <v/>
      </c>
      <c r="D107">
        <f>$C$7+((ROW()-52)/99*$C$18/1000)/$C$8+$C$5*$C$9-($C$7*($C$11/($C$8+$C$11))+((ROW()-52)/99*$C$18/1000)/$C$11)</f>
        <v/>
      </c>
      <c r="E107">
        <f>$C$7+((ROW()-52)/99*$C$18/1000)/$C$8</f>
        <v/>
      </c>
      <c r="G107">
        <f>$H$18*(1-EXP(-(ROW()-52)/99*$H$15/$H$17))</f>
        <v/>
      </c>
      <c r="H107">
        <f>$H$6+$H$4</f>
        <v/>
      </c>
      <c r="I107">
        <f>$H$6+$H$4-($H$6*($H$10/($H$7+$H$10))+($H$18*(1-EXP(-(ROW()-52)/99*$H$15/$H$17))/1000)/$H$10)</f>
        <v/>
      </c>
      <c r="J107">
        <f>$H$6+($H$18*(1-EXP(-(ROW()-52)/99*$H$15/$H$17))/1000)/$H$7</f>
        <v/>
      </c>
    </row>
    <row r="108">
      <c r="B108">
        <f>(ROW()-52)/99*$C$18</f>
        <v/>
      </c>
      <c r="C108">
        <f>$C$7+((ROW()-52)/99*$C$18/1000)/$C$8+$C$5*$C$9</f>
        <v/>
      </c>
      <c r="D108">
        <f>$C$7+((ROW()-52)/99*$C$18/1000)/$C$8+$C$5*$C$9-($C$7*($C$11/($C$8+$C$11))+((ROW()-52)/99*$C$18/1000)/$C$11)</f>
        <v/>
      </c>
      <c r="E108">
        <f>$C$7+((ROW()-52)/99*$C$18/1000)/$C$8</f>
        <v/>
      </c>
      <c r="G108">
        <f>$H$18*(1-EXP(-(ROW()-52)/99*$H$15/$H$17))</f>
        <v/>
      </c>
      <c r="H108">
        <f>$H$6+$H$4</f>
        <v/>
      </c>
      <c r="I108">
        <f>$H$6+$H$4-($H$6*($H$10/($H$7+$H$10))+($H$18*(1-EXP(-(ROW()-52)/99*$H$15/$H$17))/1000)/$H$10)</f>
        <v/>
      </c>
      <c r="J108">
        <f>$H$6+($H$18*(1-EXP(-(ROW()-52)/99*$H$15/$H$17))/1000)/$H$7</f>
        <v/>
      </c>
    </row>
    <row r="109">
      <c r="B109">
        <f>(ROW()-52)/99*$C$18</f>
        <v/>
      </c>
      <c r="C109">
        <f>$C$7+((ROW()-52)/99*$C$18/1000)/$C$8+$C$5*$C$9</f>
        <v/>
      </c>
      <c r="D109">
        <f>$C$7+((ROW()-52)/99*$C$18/1000)/$C$8+$C$5*$C$9-($C$7*($C$11/($C$8+$C$11))+((ROW()-52)/99*$C$18/1000)/$C$11)</f>
        <v/>
      </c>
      <c r="E109">
        <f>$C$7+((ROW()-52)/99*$C$18/1000)/$C$8</f>
        <v/>
      </c>
      <c r="G109">
        <f>$H$18*(1-EXP(-(ROW()-52)/99*$H$15/$H$17))</f>
        <v/>
      </c>
      <c r="H109">
        <f>$H$6+$H$4</f>
        <v/>
      </c>
      <c r="I109">
        <f>$H$6+$H$4-($H$6*($H$10/($H$7+$H$10))+($H$18*(1-EXP(-(ROW()-52)/99*$H$15/$H$17))/1000)/$H$10)</f>
        <v/>
      </c>
      <c r="J109">
        <f>$H$6+($H$18*(1-EXP(-(ROW()-52)/99*$H$15/$H$17))/1000)/$H$7</f>
        <v/>
      </c>
    </row>
    <row r="110">
      <c r="B110">
        <f>(ROW()-52)/99*$C$18</f>
        <v/>
      </c>
      <c r="C110">
        <f>$C$7+((ROW()-52)/99*$C$18/1000)/$C$8+$C$5*$C$9</f>
        <v/>
      </c>
      <c r="D110">
        <f>$C$7+((ROW()-52)/99*$C$18/1000)/$C$8+$C$5*$C$9-($C$7*($C$11/($C$8+$C$11))+((ROW()-52)/99*$C$18/1000)/$C$11)</f>
        <v/>
      </c>
      <c r="E110">
        <f>$C$7+((ROW()-52)/99*$C$18/1000)/$C$8</f>
        <v/>
      </c>
      <c r="G110">
        <f>$H$18*(1-EXP(-(ROW()-52)/99*$H$15/$H$17))</f>
        <v/>
      </c>
      <c r="H110">
        <f>$H$6+$H$4</f>
        <v/>
      </c>
      <c r="I110">
        <f>$H$6+$H$4-($H$6*($H$10/($H$7+$H$10))+($H$18*(1-EXP(-(ROW()-52)/99*$H$15/$H$17))/1000)/$H$10)</f>
        <v/>
      </c>
      <c r="J110">
        <f>$H$6+($H$18*(1-EXP(-(ROW()-52)/99*$H$15/$H$17))/1000)/$H$7</f>
        <v/>
      </c>
    </row>
    <row r="111">
      <c r="B111">
        <f>(ROW()-52)/99*$C$18</f>
        <v/>
      </c>
      <c r="C111">
        <f>$C$7+((ROW()-52)/99*$C$18/1000)/$C$8+$C$5*$C$9</f>
        <v/>
      </c>
      <c r="D111">
        <f>$C$7+((ROW()-52)/99*$C$18/1000)/$C$8+$C$5*$C$9-($C$7*($C$11/($C$8+$C$11))+((ROW()-52)/99*$C$18/1000)/$C$11)</f>
        <v/>
      </c>
      <c r="E111">
        <f>$C$7+((ROW()-52)/99*$C$18/1000)/$C$8</f>
        <v/>
      </c>
      <c r="G111">
        <f>$H$18*(1-EXP(-(ROW()-52)/99*$H$15/$H$17))</f>
        <v/>
      </c>
      <c r="H111">
        <f>$H$6+$H$4</f>
        <v/>
      </c>
      <c r="I111">
        <f>$H$6+$H$4-($H$6*($H$10/($H$7+$H$10))+($H$18*(1-EXP(-(ROW()-52)/99*$H$15/$H$17))/1000)/$H$10)</f>
        <v/>
      </c>
      <c r="J111">
        <f>$H$6+($H$18*(1-EXP(-(ROW()-52)/99*$H$15/$H$17))/1000)/$H$7</f>
        <v/>
      </c>
    </row>
    <row r="112">
      <c r="B112">
        <f>(ROW()-52)/99*$C$18</f>
        <v/>
      </c>
      <c r="C112">
        <f>$C$7+((ROW()-52)/99*$C$18/1000)/$C$8+$C$5*$C$9</f>
        <v/>
      </c>
      <c r="D112">
        <f>$C$7+((ROW()-52)/99*$C$18/1000)/$C$8+$C$5*$C$9-($C$7*($C$11/($C$8+$C$11))+((ROW()-52)/99*$C$18/1000)/$C$11)</f>
        <v/>
      </c>
      <c r="E112">
        <f>$C$7+((ROW()-52)/99*$C$18/1000)/$C$8</f>
        <v/>
      </c>
      <c r="G112">
        <f>$H$18*(1-EXP(-(ROW()-52)/99*$H$15/$H$17))</f>
        <v/>
      </c>
      <c r="H112">
        <f>$H$6+$H$4</f>
        <v/>
      </c>
      <c r="I112">
        <f>$H$6+$H$4-($H$6*($H$10/($H$7+$H$10))+($H$18*(1-EXP(-(ROW()-52)/99*$H$15/$H$17))/1000)/$H$10)</f>
        <v/>
      </c>
      <c r="J112">
        <f>$H$6+($H$18*(1-EXP(-(ROW()-52)/99*$H$15/$H$17))/1000)/$H$7</f>
        <v/>
      </c>
    </row>
    <row r="113">
      <c r="B113">
        <f>(ROW()-52)/99*$C$18</f>
        <v/>
      </c>
      <c r="C113">
        <f>$C$7+((ROW()-52)/99*$C$18/1000)/$C$8+$C$5*$C$9</f>
        <v/>
      </c>
      <c r="D113">
        <f>$C$7+((ROW()-52)/99*$C$18/1000)/$C$8+$C$5*$C$9-($C$7*($C$11/($C$8+$C$11))+((ROW()-52)/99*$C$18/1000)/$C$11)</f>
        <v/>
      </c>
      <c r="E113">
        <f>$C$7+((ROW()-52)/99*$C$18/1000)/$C$8</f>
        <v/>
      </c>
      <c r="G113">
        <f>$H$18*(1-EXP(-(ROW()-52)/99*$H$15/$H$17))</f>
        <v/>
      </c>
      <c r="H113">
        <f>$H$6+$H$4</f>
        <v/>
      </c>
      <c r="I113">
        <f>$H$6+$H$4-($H$6*($H$10/($H$7+$H$10))+($H$18*(1-EXP(-(ROW()-52)/99*$H$15/$H$17))/1000)/$H$10)</f>
        <v/>
      </c>
      <c r="J113">
        <f>$H$6+($H$18*(1-EXP(-(ROW()-52)/99*$H$15/$H$17))/1000)/$H$7</f>
        <v/>
      </c>
    </row>
    <row r="114">
      <c r="B114">
        <f>(ROW()-52)/99*$C$18</f>
        <v/>
      </c>
      <c r="C114">
        <f>$C$7+((ROW()-52)/99*$C$18/1000)/$C$8+$C$5*$C$9</f>
        <v/>
      </c>
      <c r="D114">
        <f>$C$7+((ROW()-52)/99*$C$18/1000)/$C$8+$C$5*$C$9-($C$7*($C$11/($C$8+$C$11))+((ROW()-52)/99*$C$18/1000)/$C$11)</f>
        <v/>
      </c>
      <c r="E114">
        <f>$C$7+((ROW()-52)/99*$C$18/1000)/$C$8</f>
        <v/>
      </c>
      <c r="G114">
        <f>$H$18*(1-EXP(-(ROW()-52)/99*$H$15/$H$17))</f>
        <v/>
      </c>
      <c r="H114">
        <f>$H$6+$H$4</f>
        <v/>
      </c>
      <c r="I114">
        <f>$H$6+$H$4-($H$6*($H$10/($H$7+$H$10))+($H$18*(1-EXP(-(ROW()-52)/99*$H$15/$H$17))/1000)/$H$10)</f>
        <v/>
      </c>
      <c r="J114">
        <f>$H$6+($H$18*(1-EXP(-(ROW()-52)/99*$H$15/$H$17))/1000)/$H$7</f>
        <v/>
      </c>
    </row>
    <row r="115">
      <c r="B115">
        <f>(ROW()-52)/99*$C$18</f>
        <v/>
      </c>
      <c r="C115">
        <f>$C$7+((ROW()-52)/99*$C$18/1000)/$C$8+$C$5*$C$9</f>
        <v/>
      </c>
      <c r="D115">
        <f>$C$7+((ROW()-52)/99*$C$18/1000)/$C$8+$C$5*$C$9-($C$7*($C$11/($C$8+$C$11))+((ROW()-52)/99*$C$18/1000)/$C$11)</f>
        <v/>
      </c>
      <c r="E115">
        <f>$C$7+((ROW()-52)/99*$C$18/1000)/$C$8</f>
        <v/>
      </c>
      <c r="G115">
        <f>$H$18*(1-EXP(-(ROW()-52)/99*$H$15/$H$17))</f>
        <v/>
      </c>
      <c r="H115">
        <f>$H$6+$H$4</f>
        <v/>
      </c>
      <c r="I115">
        <f>$H$6+$H$4-($H$6*($H$10/($H$7+$H$10))+($H$18*(1-EXP(-(ROW()-52)/99*$H$15/$H$17))/1000)/$H$10)</f>
        <v/>
      </c>
      <c r="J115">
        <f>$H$6+($H$18*(1-EXP(-(ROW()-52)/99*$H$15/$H$17))/1000)/$H$7</f>
        <v/>
      </c>
    </row>
    <row r="116">
      <c r="B116">
        <f>(ROW()-52)/99*$C$18</f>
        <v/>
      </c>
      <c r="C116">
        <f>$C$7+((ROW()-52)/99*$C$18/1000)/$C$8+$C$5*$C$9</f>
        <v/>
      </c>
      <c r="D116">
        <f>$C$7+((ROW()-52)/99*$C$18/1000)/$C$8+$C$5*$C$9-($C$7*($C$11/($C$8+$C$11))+((ROW()-52)/99*$C$18/1000)/$C$11)</f>
        <v/>
      </c>
      <c r="E116">
        <f>$C$7+((ROW()-52)/99*$C$18/1000)/$C$8</f>
        <v/>
      </c>
      <c r="G116">
        <f>$H$18*(1-EXP(-(ROW()-52)/99*$H$15/$H$17))</f>
        <v/>
      </c>
      <c r="H116">
        <f>$H$6+$H$4</f>
        <v/>
      </c>
      <c r="I116">
        <f>$H$6+$H$4-($H$6*($H$10/($H$7+$H$10))+($H$18*(1-EXP(-(ROW()-52)/99*$H$15/$H$17))/1000)/$H$10)</f>
        <v/>
      </c>
      <c r="J116">
        <f>$H$6+($H$18*(1-EXP(-(ROW()-52)/99*$H$15/$H$17))/1000)/$H$7</f>
        <v/>
      </c>
    </row>
    <row r="117">
      <c r="B117">
        <f>(ROW()-52)/99*$C$18</f>
        <v/>
      </c>
      <c r="C117">
        <f>$C$7+((ROW()-52)/99*$C$18/1000)/$C$8+$C$5*$C$9</f>
        <v/>
      </c>
      <c r="D117">
        <f>$C$7+((ROW()-52)/99*$C$18/1000)/$C$8+$C$5*$C$9-($C$7*($C$11/($C$8+$C$11))+((ROW()-52)/99*$C$18/1000)/$C$11)</f>
        <v/>
      </c>
      <c r="E117">
        <f>$C$7+((ROW()-52)/99*$C$18/1000)/$C$8</f>
        <v/>
      </c>
      <c r="G117">
        <f>$H$18*(1-EXP(-(ROW()-52)/99*$H$15/$H$17))</f>
        <v/>
      </c>
      <c r="H117">
        <f>$H$6+$H$4</f>
        <v/>
      </c>
      <c r="I117">
        <f>$H$6+$H$4-($H$6*($H$10/($H$7+$H$10))+($H$18*(1-EXP(-(ROW()-52)/99*$H$15/$H$17))/1000)/$H$10)</f>
        <v/>
      </c>
      <c r="J117">
        <f>$H$6+($H$18*(1-EXP(-(ROW()-52)/99*$H$15/$H$17))/1000)/$H$7</f>
        <v/>
      </c>
    </row>
    <row r="118">
      <c r="B118">
        <f>(ROW()-52)/99*$C$18</f>
        <v/>
      </c>
      <c r="C118">
        <f>$C$7+((ROW()-52)/99*$C$18/1000)/$C$8+$C$5*$C$9</f>
        <v/>
      </c>
      <c r="D118">
        <f>$C$7+((ROW()-52)/99*$C$18/1000)/$C$8+$C$5*$C$9-($C$7*($C$11/($C$8+$C$11))+((ROW()-52)/99*$C$18/1000)/$C$11)</f>
        <v/>
      </c>
      <c r="E118">
        <f>$C$7+((ROW()-52)/99*$C$18/1000)/$C$8</f>
        <v/>
      </c>
      <c r="G118">
        <f>$H$18*(1-EXP(-(ROW()-52)/99*$H$15/$H$17))</f>
        <v/>
      </c>
      <c r="H118">
        <f>$H$6+$H$4</f>
        <v/>
      </c>
      <c r="I118">
        <f>$H$6+$H$4-($H$6*($H$10/($H$7+$H$10))+($H$18*(1-EXP(-(ROW()-52)/99*$H$15/$H$17))/1000)/$H$10)</f>
        <v/>
      </c>
      <c r="J118">
        <f>$H$6+($H$18*(1-EXP(-(ROW()-52)/99*$H$15/$H$17))/1000)/$H$7</f>
        <v/>
      </c>
    </row>
    <row r="119">
      <c r="B119">
        <f>(ROW()-52)/99*$C$18</f>
        <v/>
      </c>
      <c r="C119">
        <f>$C$7+((ROW()-52)/99*$C$18/1000)/$C$8+$C$5*$C$9</f>
        <v/>
      </c>
      <c r="D119">
        <f>$C$7+((ROW()-52)/99*$C$18/1000)/$C$8+$C$5*$C$9-($C$7*($C$11/($C$8+$C$11))+((ROW()-52)/99*$C$18/1000)/$C$11)</f>
        <v/>
      </c>
      <c r="E119">
        <f>$C$7+((ROW()-52)/99*$C$18/1000)/$C$8</f>
        <v/>
      </c>
      <c r="G119">
        <f>$H$18*(1-EXP(-(ROW()-52)/99*$H$15/$H$17))</f>
        <v/>
      </c>
      <c r="H119">
        <f>$H$6+$H$4</f>
        <v/>
      </c>
      <c r="I119">
        <f>$H$6+$H$4-($H$6*($H$10/($H$7+$H$10))+($H$18*(1-EXP(-(ROW()-52)/99*$H$15/$H$17))/1000)/$H$10)</f>
        <v/>
      </c>
      <c r="J119">
        <f>$H$6+($H$18*(1-EXP(-(ROW()-52)/99*$H$15/$H$17))/1000)/$H$7</f>
        <v/>
      </c>
    </row>
    <row r="120">
      <c r="B120">
        <f>(ROW()-52)/99*$C$18</f>
        <v/>
      </c>
      <c r="C120">
        <f>$C$7+((ROW()-52)/99*$C$18/1000)/$C$8+$C$5*$C$9</f>
        <v/>
      </c>
      <c r="D120">
        <f>$C$7+((ROW()-52)/99*$C$18/1000)/$C$8+$C$5*$C$9-($C$7*($C$11/($C$8+$C$11))+((ROW()-52)/99*$C$18/1000)/$C$11)</f>
        <v/>
      </c>
      <c r="E120">
        <f>$C$7+((ROW()-52)/99*$C$18/1000)/$C$8</f>
        <v/>
      </c>
      <c r="G120">
        <f>$H$18*(1-EXP(-(ROW()-52)/99*$H$15/$H$17))</f>
        <v/>
      </c>
      <c r="H120">
        <f>$H$6+$H$4</f>
        <v/>
      </c>
      <c r="I120">
        <f>$H$6+$H$4-($H$6*($H$10/($H$7+$H$10))+($H$18*(1-EXP(-(ROW()-52)/99*$H$15/$H$17))/1000)/$H$10)</f>
        <v/>
      </c>
      <c r="J120">
        <f>$H$6+($H$18*(1-EXP(-(ROW()-52)/99*$H$15/$H$17))/1000)/$H$7</f>
        <v/>
      </c>
    </row>
    <row r="121">
      <c r="B121">
        <f>(ROW()-52)/99*$C$18</f>
        <v/>
      </c>
      <c r="C121">
        <f>$C$7+((ROW()-52)/99*$C$18/1000)/$C$8+$C$5*$C$9</f>
        <v/>
      </c>
      <c r="D121">
        <f>$C$7+((ROW()-52)/99*$C$18/1000)/$C$8+$C$5*$C$9-($C$7*($C$11/($C$8+$C$11))+((ROW()-52)/99*$C$18/1000)/$C$11)</f>
        <v/>
      </c>
      <c r="E121">
        <f>$C$7+((ROW()-52)/99*$C$18/1000)/$C$8</f>
        <v/>
      </c>
      <c r="G121">
        <f>$H$18*(1-EXP(-(ROW()-52)/99*$H$15/$H$17))</f>
        <v/>
      </c>
      <c r="H121">
        <f>$H$6+$H$4</f>
        <v/>
      </c>
      <c r="I121">
        <f>$H$6+$H$4-($H$6*($H$10/($H$7+$H$10))+($H$18*(1-EXP(-(ROW()-52)/99*$H$15/$H$17))/1000)/$H$10)</f>
        <v/>
      </c>
      <c r="J121">
        <f>$H$6+($H$18*(1-EXP(-(ROW()-52)/99*$H$15/$H$17))/1000)/$H$7</f>
        <v/>
      </c>
    </row>
    <row r="122">
      <c r="B122">
        <f>(ROW()-52)/99*$C$18</f>
        <v/>
      </c>
      <c r="C122">
        <f>$C$7+((ROW()-52)/99*$C$18/1000)/$C$8+$C$5*$C$9</f>
        <v/>
      </c>
      <c r="D122">
        <f>$C$7+((ROW()-52)/99*$C$18/1000)/$C$8+$C$5*$C$9-($C$7*($C$11/($C$8+$C$11))+((ROW()-52)/99*$C$18/1000)/$C$11)</f>
        <v/>
      </c>
      <c r="E122">
        <f>$C$7+((ROW()-52)/99*$C$18/1000)/$C$8</f>
        <v/>
      </c>
      <c r="G122">
        <f>$H$18*(1-EXP(-(ROW()-52)/99*$H$15/$H$17))</f>
        <v/>
      </c>
      <c r="H122">
        <f>$H$6+$H$4</f>
        <v/>
      </c>
      <c r="I122">
        <f>$H$6+$H$4-($H$6*($H$10/($H$7+$H$10))+($H$18*(1-EXP(-(ROW()-52)/99*$H$15/$H$17))/1000)/$H$10)</f>
        <v/>
      </c>
      <c r="J122">
        <f>$H$6+($H$18*(1-EXP(-(ROW()-52)/99*$H$15/$H$17))/1000)/$H$7</f>
        <v/>
      </c>
    </row>
    <row r="123">
      <c r="B123">
        <f>(ROW()-52)/99*$C$18</f>
        <v/>
      </c>
      <c r="C123">
        <f>$C$7+((ROW()-52)/99*$C$18/1000)/$C$8+$C$5*$C$9</f>
        <v/>
      </c>
      <c r="D123">
        <f>$C$7+((ROW()-52)/99*$C$18/1000)/$C$8+$C$5*$C$9-($C$7*($C$11/($C$8+$C$11))+((ROW()-52)/99*$C$18/1000)/$C$11)</f>
        <v/>
      </c>
      <c r="E123">
        <f>$C$7+((ROW()-52)/99*$C$18/1000)/$C$8</f>
        <v/>
      </c>
      <c r="G123">
        <f>$H$18*(1-EXP(-(ROW()-52)/99*$H$15/$H$17))</f>
        <v/>
      </c>
      <c r="H123">
        <f>$H$6+$H$4</f>
        <v/>
      </c>
      <c r="I123">
        <f>$H$6+$H$4-($H$6*($H$10/($H$7+$H$10))+($H$18*(1-EXP(-(ROW()-52)/99*$H$15/$H$17))/1000)/$H$10)</f>
        <v/>
      </c>
      <c r="J123">
        <f>$H$6+($H$18*(1-EXP(-(ROW()-52)/99*$H$15/$H$17))/1000)/$H$7</f>
        <v/>
      </c>
    </row>
    <row r="124">
      <c r="B124">
        <f>(ROW()-52)/99*$C$18</f>
        <v/>
      </c>
      <c r="C124">
        <f>$C$7+((ROW()-52)/99*$C$18/1000)/$C$8+$C$5*$C$9</f>
        <v/>
      </c>
      <c r="D124">
        <f>$C$7+((ROW()-52)/99*$C$18/1000)/$C$8+$C$5*$C$9-($C$7*($C$11/($C$8+$C$11))+((ROW()-52)/99*$C$18/1000)/$C$11)</f>
        <v/>
      </c>
      <c r="E124">
        <f>$C$7+((ROW()-52)/99*$C$18/1000)/$C$8</f>
        <v/>
      </c>
      <c r="G124">
        <f>$H$18*(1-EXP(-(ROW()-52)/99*$H$15/$H$17))</f>
        <v/>
      </c>
      <c r="H124">
        <f>$H$6+$H$4</f>
        <v/>
      </c>
      <c r="I124">
        <f>$H$6+$H$4-($H$6*($H$10/($H$7+$H$10))+($H$18*(1-EXP(-(ROW()-52)/99*$H$15/$H$17))/1000)/$H$10)</f>
        <v/>
      </c>
      <c r="J124">
        <f>$H$6+($H$18*(1-EXP(-(ROW()-52)/99*$H$15/$H$17))/1000)/$H$7</f>
        <v/>
      </c>
    </row>
    <row r="125">
      <c r="B125">
        <f>(ROW()-52)/99*$C$18</f>
        <v/>
      </c>
      <c r="C125">
        <f>$C$7+((ROW()-52)/99*$C$18/1000)/$C$8+$C$5*$C$9</f>
        <v/>
      </c>
      <c r="D125">
        <f>$C$7+((ROW()-52)/99*$C$18/1000)/$C$8+$C$5*$C$9-($C$7*($C$11/($C$8+$C$11))+((ROW()-52)/99*$C$18/1000)/$C$11)</f>
        <v/>
      </c>
      <c r="E125">
        <f>$C$7+((ROW()-52)/99*$C$18/1000)/$C$8</f>
        <v/>
      </c>
      <c r="G125">
        <f>$H$18*(1-EXP(-(ROW()-52)/99*$H$15/$H$17))</f>
        <v/>
      </c>
      <c r="H125">
        <f>$H$6+$H$4</f>
        <v/>
      </c>
      <c r="I125">
        <f>$H$6+$H$4-($H$6*($H$10/($H$7+$H$10))+($H$18*(1-EXP(-(ROW()-52)/99*$H$15/$H$17))/1000)/$H$10)</f>
        <v/>
      </c>
      <c r="J125">
        <f>$H$6+($H$18*(1-EXP(-(ROW()-52)/99*$H$15/$H$17))/1000)/$H$7</f>
        <v/>
      </c>
    </row>
    <row r="126">
      <c r="B126">
        <f>(ROW()-52)/99*$C$18</f>
        <v/>
      </c>
      <c r="C126">
        <f>$C$7+((ROW()-52)/99*$C$18/1000)/$C$8+$C$5*$C$9</f>
        <v/>
      </c>
      <c r="D126">
        <f>$C$7+((ROW()-52)/99*$C$18/1000)/$C$8+$C$5*$C$9-($C$7*($C$11/($C$8+$C$11))+((ROW()-52)/99*$C$18/1000)/$C$11)</f>
        <v/>
      </c>
      <c r="E126">
        <f>$C$7+((ROW()-52)/99*$C$18/1000)/$C$8</f>
        <v/>
      </c>
      <c r="G126">
        <f>$H$18*(1-EXP(-(ROW()-52)/99*$H$15/$H$17))</f>
        <v/>
      </c>
      <c r="H126">
        <f>$H$6+$H$4</f>
        <v/>
      </c>
      <c r="I126">
        <f>$H$6+$H$4-($H$6*($H$10/($H$7+$H$10))+($H$18*(1-EXP(-(ROW()-52)/99*$H$15/$H$17))/1000)/$H$10)</f>
        <v/>
      </c>
      <c r="J126">
        <f>$H$6+($H$18*(1-EXP(-(ROW()-52)/99*$H$15/$H$17))/1000)/$H$7</f>
        <v/>
      </c>
    </row>
    <row r="127">
      <c r="B127">
        <f>(ROW()-52)/99*$C$18</f>
        <v/>
      </c>
      <c r="C127">
        <f>$C$7+((ROW()-52)/99*$C$18/1000)/$C$8+$C$5*$C$9</f>
        <v/>
      </c>
      <c r="D127">
        <f>$C$7+((ROW()-52)/99*$C$18/1000)/$C$8+$C$5*$C$9-($C$7*($C$11/($C$8+$C$11))+((ROW()-52)/99*$C$18/1000)/$C$11)</f>
        <v/>
      </c>
      <c r="E127">
        <f>$C$7+((ROW()-52)/99*$C$18/1000)/$C$8</f>
        <v/>
      </c>
      <c r="G127">
        <f>$H$18*(1-EXP(-(ROW()-52)/99*$H$15/$H$17))</f>
        <v/>
      </c>
      <c r="H127">
        <f>$H$6+$H$4</f>
        <v/>
      </c>
      <c r="I127">
        <f>$H$6+$H$4-($H$6*($H$10/($H$7+$H$10))+($H$18*(1-EXP(-(ROW()-52)/99*$H$15/$H$17))/1000)/$H$10)</f>
        <v/>
      </c>
      <c r="J127">
        <f>$H$6+($H$18*(1-EXP(-(ROW()-52)/99*$H$15/$H$17))/1000)/$H$7</f>
        <v/>
      </c>
    </row>
    <row r="128">
      <c r="B128">
        <f>(ROW()-52)/99*$C$18</f>
        <v/>
      </c>
      <c r="C128">
        <f>$C$7+((ROW()-52)/99*$C$18/1000)/$C$8+$C$5*$C$9</f>
        <v/>
      </c>
      <c r="D128">
        <f>$C$7+((ROW()-52)/99*$C$18/1000)/$C$8+$C$5*$C$9-($C$7*($C$11/($C$8+$C$11))+((ROW()-52)/99*$C$18/1000)/$C$11)</f>
        <v/>
      </c>
      <c r="E128">
        <f>$C$7+((ROW()-52)/99*$C$18/1000)/$C$8</f>
        <v/>
      </c>
      <c r="G128">
        <f>$H$18*(1-EXP(-(ROW()-52)/99*$H$15/$H$17))</f>
        <v/>
      </c>
      <c r="H128">
        <f>$H$6+$H$4</f>
        <v/>
      </c>
      <c r="I128">
        <f>$H$6+$H$4-($H$6*($H$10/($H$7+$H$10))+($H$18*(1-EXP(-(ROW()-52)/99*$H$15/$H$17))/1000)/$H$10)</f>
        <v/>
      </c>
      <c r="J128">
        <f>$H$6+($H$18*(1-EXP(-(ROW()-52)/99*$H$15/$H$17))/1000)/$H$7</f>
        <v/>
      </c>
    </row>
    <row r="129">
      <c r="B129">
        <f>(ROW()-52)/99*$C$18</f>
        <v/>
      </c>
      <c r="C129">
        <f>$C$7+((ROW()-52)/99*$C$18/1000)/$C$8+$C$5*$C$9</f>
        <v/>
      </c>
      <c r="D129">
        <f>$C$7+((ROW()-52)/99*$C$18/1000)/$C$8+$C$5*$C$9-($C$7*($C$11/($C$8+$C$11))+((ROW()-52)/99*$C$18/1000)/$C$11)</f>
        <v/>
      </c>
      <c r="E129">
        <f>$C$7+((ROW()-52)/99*$C$18/1000)/$C$8</f>
        <v/>
      </c>
      <c r="G129">
        <f>$H$18*(1-EXP(-(ROW()-52)/99*$H$15/$H$17))</f>
        <v/>
      </c>
      <c r="H129">
        <f>$H$6+$H$4</f>
        <v/>
      </c>
      <c r="I129">
        <f>$H$6+$H$4-($H$6*($H$10/($H$7+$H$10))+($H$18*(1-EXP(-(ROW()-52)/99*$H$15/$H$17))/1000)/$H$10)</f>
        <v/>
      </c>
      <c r="J129">
        <f>$H$6+($H$18*(1-EXP(-(ROW()-52)/99*$H$15/$H$17))/1000)/$H$7</f>
        <v/>
      </c>
    </row>
    <row r="130">
      <c r="B130">
        <f>(ROW()-52)/99*$C$18</f>
        <v/>
      </c>
      <c r="C130">
        <f>$C$7+((ROW()-52)/99*$C$18/1000)/$C$8+$C$5*$C$9</f>
        <v/>
      </c>
      <c r="D130">
        <f>$C$7+((ROW()-52)/99*$C$18/1000)/$C$8+$C$5*$C$9-($C$7*($C$11/($C$8+$C$11))+((ROW()-52)/99*$C$18/1000)/$C$11)</f>
        <v/>
      </c>
      <c r="E130">
        <f>$C$7+((ROW()-52)/99*$C$18/1000)/$C$8</f>
        <v/>
      </c>
      <c r="G130">
        <f>$H$18*(1-EXP(-(ROW()-52)/99*$H$15/$H$17))</f>
        <v/>
      </c>
      <c r="H130">
        <f>$H$6+$H$4</f>
        <v/>
      </c>
      <c r="I130">
        <f>$H$6+$H$4-($H$6*($H$10/($H$7+$H$10))+($H$18*(1-EXP(-(ROW()-52)/99*$H$15/$H$17))/1000)/$H$10)</f>
        <v/>
      </c>
      <c r="J130">
        <f>$H$6+($H$18*(1-EXP(-(ROW()-52)/99*$H$15/$H$17))/1000)/$H$7</f>
        <v/>
      </c>
    </row>
    <row r="131">
      <c r="B131">
        <f>(ROW()-52)/99*$C$18</f>
        <v/>
      </c>
      <c r="C131">
        <f>$C$7+((ROW()-52)/99*$C$18/1000)/$C$8+$C$5*$C$9</f>
        <v/>
      </c>
      <c r="D131">
        <f>$C$7+((ROW()-52)/99*$C$18/1000)/$C$8+$C$5*$C$9-($C$7*($C$11/($C$8+$C$11))+((ROW()-52)/99*$C$18/1000)/$C$11)</f>
        <v/>
      </c>
      <c r="E131">
        <f>$C$7+((ROW()-52)/99*$C$18/1000)/$C$8</f>
        <v/>
      </c>
      <c r="G131">
        <f>$H$18*(1-EXP(-(ROW()-52)/99*$H$15/$H$17))</f>
        <v/>
      </c>
      <c r="H131">
        <f>$H$6+$H$4</f>
        <v/>
      </c>
      <c r="I131">
        <f>$H$6+$H$4-($H$6*($H$10/($H$7+$H$10))+($H$18*(1-EXP(-(ROW()-52)/99*$H$15/$H$17))/1000)/$H$10)</f>
        <v/>
      </c>
      <c r="J131">
        <f>$H$6+($H$18*(1-EXP(-(ROW()-52)/99*$H$15/$H$17))/1000)/$H$7</f>
        <v/>
      </c>
    </row>
    <row r="132">
      <c r="B132">
        <f>(ROW()-52)/99*$C$18</f>
        <v/>
      </c>
      <c r="C132">
        <f>$C$7+((ROW()-52)/99*$C$18/1000)/$C$8+$C$5*$C$9</f>
        <v/>
      </c>
      <c r="D132">
        <f>$C$7+((ROW()-52)/99*$C$18/1000)/$C$8+$C$5*$C$9-($C$7*($C$11/($C$8+$C$11))+((ROW()-52)/99*$C$18/1000)/$C$11)</f>
        <v/>
      </c>
      <c r="E132">
        <f>$C$7+((ROW()-52)/99*$C$18/1000)/$C$8</f>
        <v/>
      </c>
      <c r="G132">
        <f>$H$18*(1-EXP(-(ROW()-52)/99*$H$15/$H$17))</f>
        <v/>
      </c>
      <c r="H132">
        <f>$H$6+$H$4</f>
        <v/>
      </c>
      <c r="I132">
        <f>$H$6+$H$4-($H$6*($H$10/($H$7+$H$10))+($H$18*(1-EXP(-(ROW()-52)/99*$H$15/$H$17))/1000)/$H$10)</f>
        <v/>
      </c>
      <c r="J132">
        <f>$H$6+($H$18*(1-EXP(-(ROW()-52)/99*$H$15/$H$17))/1000)/$H$7</f>
        <v/>
      </c>
    </row>
    <row r="133">
      <c r="B133">
        <f>(ROW()-52)/99*$C$18</f>
        <v/>
      </c>
      <c r="C133">
        <f>$C$7+((ROW()-52)/99*$C$18/1000)/$C$8+$C$5*$C$9</f>
        <v/>
      </c>
      <c r="D133">
        <f>$C$7+((ROW()-52)/99*$C$18/1000)/$C$8+$C$5*$C$9-($C$7*($C$11/($C$8+$C$11))+((ROW()-52)/99*$C$18/1000)/$C$11)</f>
        <v/>
      </c>
      <c r="E133">
        <f>$C$7+((ROW()-52)/99*$C$18/1000)/$C$8</f>
        <v/>
      </c>
      <c r="G133">
        <f>$H$18*(1-EXP(-(ROW()-52)/99*$H$15/$H$17))</f>
        <v/>
      </c>
      <c r="H133">
        <f>$H$6+$H$4</f>
        <v/>
      </c>
      <c r="I133">
        <f>$H$6+$H$4-($H$6*($H$10/($H$7+$H$10))+($H$18*(1-EXP(-(ROW()-52)/99*$H$15/$H$17))/1000)/$H$10)</f>
        <v/>
      </c>
      <c r="J133">
        <f>$H$6+($H$18*(1-EXP(-(ROW()-52)/99*$H$15/$H$17))/1000)/$H$7</f>
        <v/>
      </c>
    </row>
    <row r="134">
      <c r="B134">
        <f>(ROW()-52)/99*$C$18</f>
        <v/>
      </c>
      <c r="C134">
        <f>$C$7+((ROW()-52)/99*$C$18/1000)/$C$8+$C$5*$C$9</f>
        <v/>
      </c>
      <c r="D134">
        <f>$C$7+((ROW()-52)/99*$C$18/1000)/$C$8+$C$5*$C$9-($C$7*($C$11/($C$8+$C$11))+((ROW()-52)/99*$C$18/1000)/$C$11)</f>
        <v/>
      </c>
      <c r="E134">
        <f>$C$7+((ROW()-52)/99*$C$18/1000)/$C$8</f>
        <v/>
      </c>
      <c r="G134">
        <f>$H$18*(1-EXP(-(ROW()-52)/99*$H$15/$H$17))</f>
        <v/>
      </c>
      <c r="H134">
        <f>$H$6+$H$4</f>
        <v/>
      </c>
      <c r="I134">
        <f>$H$6+$H$4-($H$6*($H$10/($H$7+$H$10))+($H$18*(1-EXP(-(ROW()-52)/99*$H$15/$H$17))/1000)/$H$10)</f>
        <v/>
      </c>
      <c r="J134">
        <f>$H$6+($H$18*(1-EXP(-(ROW()-52)/99*$H$15/$H$17))/1000)/$H$7</f>
        <v/>
      </c>
    </row>
    <row r="135">
      <c r="B135">
        <f>(ROW()-52)/99*$C$18</f>
        <v/>
      </c>
      <c r="C135">
        <f>$C$7+((ROW()-52)/99*$C$18/1000)/$C$8+$C$5*$C$9</f>
        <v/>
      </c>
      <c r="D135">
        <f>$C$7+((ROW()-52)/99*$C$18/1000)/$C$8+$C$5*$C$9-($C$7*($C$11/($C$8+$C$11))+((ROW()-52)/99*$C$18/1000)/$C$11)</f>
        <v/>
      </c>
      <c r="E135">
        <f>$C$7+((ROW()-52)/99*$C$18/1000)/$C$8</f>
        <v/>
      </c>
      <c r="G135">
        <f>$H$18*(1-EXP(-(ROW()-52)/99*$H$15/$H$17))</f>
        <v/>
      </c>
      <c r="H135">
        <f>$H$6+$H$4</f>
        <v/>
      </c>
      <c r="I135">
        <f>$H$6+$H$4-($H$6*($H$10/($H$7+$H$10))+($H$18*(1-EXP(-(ROW()-52)/99*$H$15/$H$17))/1000)/$H$10)</f>
        <v/>
      </c>
      <c r="J135">
        <f>$H$6+($H$18*(1-EXP(-(ROW()-52)/99*$H$15/$H$17))/1000)/$H$7</f>
        <v/>
      </c>
    </row>
    <row r="136">
      <c r="B136">
        <f>(ROW()-52)/99*$C$18</f>
        <v/>
      </c>
      <c r="C136">
        <f>$C$7+((ROW()-52)/99*$C$18/1000)/$C$8+$C$5*$C$9</f>
        <v/>
      </c>
      <c r="D136">
        <f>$C$7+((ROW()-52)/99*$C$18/1000)/$C$8+$C$5*$C$9-($C$7*($C$11/($C$8+$C$11))+((ROW()-52)/99*$C$18/1000)/$C$11)</f>
        <v/>
      </c>
      <c r="E136">
        <f>$C$7+((ROW()-52)/99*$C$18/1000)/$C$8</f>
        <v/>
      </c>
      <c r="G136">
        <f>$H$18*(1-EXP(-(ROW()-52)/99*$H$15/$H$17))</f>
        <v/>
      </c>
      <c r="H136">
        <f>$H$6+$H$4</f>
        <v/>
      </c>
      <c r="I136">
        <f>$H$6+$H$4-($H$6*($H$10/($H$7+$H$10))+($H$18*(1-EXP(-(ROW()-52)/99*$H$15/$H$17))/1000)/$H$10)</f>
        <v/>
      </c>
      <c r="J136">
        <f>$H$6+($H$18*(1-EXP(-(ROW()-52)/99*$H$15/$H$17))/1000)/$H$7</f>
        <v/>
      </c>
    </row>
    <row r="137">
      <c r="B137">
        <f>(ROW()-52)/99*$C$18</f>
        <v/>
      </c>
      <c r="C137">
        <f>$C$7+((ROW()-52)/99*$C$18/1000)/$C$8+$C$5*$C$9</f>
        <v/>
      </c>
      <c r="D137">
        <f>$C$7+((ROW()-52)/99*$C$18/1000)/$C$8+$C$5*$C$9-($C$7*($C$11/($C$8+$C$11))+((ROW()-52)/99*$C$18/1000)/$C$11)</f>
        <v/>
      </c>
      <c r="E137">
        <f>$C$7+((ROW()-52)/99*$C$18/1000)/$C$8</f>
        <v/>
      </c>
      <c r="G137">
        <f>$H$18*(1-EXP(-(ROW()-52)/99*$H$15/$H$17))</f>
        <v/>
      </c>
      <c r="H137">
        <f>$H$6+$H$4</f>
        <v/>
      </c>
      <c r="I137">
        <f>$H$6+$H$4-($H$6*($H$10/($H$7+$H$10))+($H$18*(1-EXP(-(ROW()-52)/99*$H$15/$H$17))/1000)/$H$10)</f>
        <v/>
      </c>
      <c r="J137">
        <f>$H$6+($H$18*(1-EXP(-(ROW()-52)/99*$H$15/$H$17))/1000)/$H$7</f>
        <v/>
      </c>
    </row>
    <row r="138">
      <c r="B138">
        <f>(ROW()-52)/99*$C$18</f>
        <v/>
      </c>
      <c r="C138">
        <f>$C$7+((ROW()-52)/99*$C$18/1000)/$C$8+$C$5*$C$9</f>
        <v/>
      </c>
      <c r="D138">
        <f>$C$7+((ROW()-52)/99*$C$18/1000)/$C$8+$C$5*$C$9-($C$7*($C$11/($C$8+$C$11))+((ROW()-52)/99*$C$18/1000)/$C$11)</f>
        <v/>
      </c>
      <c r="E138">
        <f>$C$7+((ROW()-52)/99*$C$18/1000)/$C$8</f>
        <v/>
      </c>
      <c r="G138">
        <f>$H$18*(1-EXP(-(ROW()-52)/99*$H$15/$H$17))</f>
        <v/>
      </c>
      <c r="H138">
        <f>$H$6+$H$4</f>
        <v/>
      </c>
      <c r="I138">
        <f>$H$6+$H$4-($H$6*($H$10/($H$7+$H$10))+($H$18*(1-EXP(-(ROW()-52)/99*$H$15/$H$17))/1000)/$H$10)</f>
        <v/>
      </c>
      <c r="J138">
        <f>$H$6+($H$18*(1-EXP(-(ROW()-52)/99*$H$15/$H$17))/1000)/$H$7</f>
        <v/>
      </c>
    </row>
    <row r="139">
      <c r="B139">
        <f>(ROW()-52)/99*$C$18</f>
        <v/>
      </c>
      <c r="C139">
        <f>$C$7+((ROW()-52)/99*$C$18/1000)/$C$8+$C$5*$C$9</f>
        <v/>
      </c>
      <c r="D139">
        <f>$C$7+((ROW()-52)/99*$C$18/1000)/$C$8+$C$5*$C$9-($C$7*($C$11/($C$8+$C$11))+((ROW()-52)/99*$C$18/1000)/$C$11)</f>
        <v/>
      </c>
      <c r="E139">
        <f>$C$7+((ROW()-52)/99*$C$18/1000)/$C$8</f>
        <v/>
      </c>
      <c r="G139">
        <f>$H$18*(1-EXP(-(ROW()-52)/99*$H$15/$H$17))</f>
        <v/>
      </c>
      <c r="H139">
        <f>$H$6+$H$4</f>
        <v/>
      </c>
      <c r="I139">
        <f>$H$6+$H$4-($H$6*($H$10/($H$7+$H$10))+($H$18*(1-EXP(-(ROW()-52)/99*$H$15/$H$17))/1000)/$H$10)</f>
        <v/>
      </c>
      <c r="J139">
        <f>$H$6+($H$18*(1-EXP(-(ROW()-52)/99*$H$15/$H$17))/1000)/$H$7</f>
        <v/>
      </c>
    </row>
    <row r="140">
      <c r="B140">
        <f>(ROW()-52)/99*$C$18</f>
        <v/>
      </c>
      <c r="C140">
        <f>$C$7+((ROW()-52)/99*$C$18/1000)/$C$8+$C$5*$C$9</f>
        <v/>
      </c>
      <c r="D140">
        <f>$C$7+((ROW()-52)/99*$C$18/1000)/$C$8+$C$5*$C$9-($C$7*($C$11/($C$8+$C$11))+((ROW()-52)/99*$C$18/1000)/$C$11)</f>
        <v/>
      </c>
      <c r="E140">
        <f>$C$7+((ROW()-52)/99*$C$18/1000)/$C$8</f>
        <v/>
      </c>
      <c r="G140">
        <f>$H$18*(1-EXP(-(ROW()-52)/99*$H$15/$H$17))</f>
        <v/>
      </c>
      <c r="H140">
        <f>$H$6+$H$4</f>
        <v/>
      </c>
      <c r="I140">
        <f>$H$6+$H$4-($H$6*($H$10/($H$7+$H$10))+($H$18*(1-EXP(-(ROW()-52)/99*$H$15/$H$17))/1000)/$H$10)</f>
        <v/>
      </c>
      <c r="J140">
        <f>$H$6+($H$18*(1-EXP(-(ROW()-52)/99*$H$15/$H$17))/1000)/$H$7</f>
        <v/>
      </c>
    </row>
    <row r="141">
      <c r="B141">
        <f>(ROW()-52)/99*$C$18</f>
        <v/>
      </c>
      <c r="C141">
        <f>$C$7+((ROW()-52)/99*$C$18/1000)/$C$8+$C$5*$C$9</f>
        <v/>
      </c>
      <c r="D141">
        <f>$C$7+((ROW()-52)/99*$C$18/1000)/$C$8+$C$5*$C$9-($C$7*($C$11/($C$8+$C$11))+((ROW()-52)/99*$C$18/1000)/$C$11)</f>
        <v/>
      </c>
      <c r="E141">
        <f>$C$7+((ROW()-52)/99*$C$18/1000)/$C$8</f>
        <v/>
      </c>
      <c r="G141">
        <f>$H$18*(1-EXP(-(ROW()-52)/99*$H$15/$H$17))</f>
        <v/>
      </c>
      <c r="H141">
        <f>$H$6+$H$4</f>
        <v/>
      </c>
      <c r="I141">
        <f>$H$6+$H$4-($H$6*($H$10/($H$7+$H$10))+($H$18*(1-EXP(-(ROW()-52)/99*$H$15/$H$17))/1000)/$H$10)</f>
        <v/>
      </c>
      <c r="J141">
        <f>$H$6+($H$18*(1-EXP(-(ROW()-52)/99*$H$15/$H$17))/1000)/$H$7</f>
        <v/>
      </c>
    </row>
    <row r="142">
      <c r="B142">
        <f>(ROW()-52)/99*$C$18</f>
        <v/>
      </c>
      <c r="C142">
        <f>$C$7+((ROW()-52)/99*$C$18/1000)/$C$8+$C$5*$C$9</f>
        <v/>
      </c>
      <c r="D142">
        <f>$C$7+((ROW()-52)/99*$C$18/1000)/$C$8+$C$5*$C$9-($C$7*($C$11/($C$8+$C$11))+((ROW()-52)/99*$C$18/1000)/$C$11)</f>
        <v/>
      </c>
      <c r="E142">
        <f>$C$7+((ROW()-52)/99*$C$18/1000)/$C$8</f>
        <v/>
      </c>
      <c r="G142">
        <f>$H$18*(1-EXP(-(ROW()-52)/99*$H$15/$H$17))</f>
        <v/>
      </c>
      <c r="H142">
        <f>$H$6+$H$4</f>
        <v/>
      </c>
      <c r="I142">
        <f>$H$6+$H$4-($H$6*($H$10/($H$7+$H$10))+($H$18*(1-EXP(-(ROW()-52)/99*$H$15/$H$17))/1000)/$H$10)</f>
        <v/>
      </c>
      <c r="J142">
        <f>$H$6+($H$18*(1-EXP(-(ROW()-52)/99*$H$15/$H$17))/1000)/$H$7</f>
        <v/>
      </c>
    </row>
    <row r="143">
      <c r="B143">
        <f>(ROW()-52)/99*$C$18</f>
        <v/>
      </c>
      <c r="C143">
        <f>$C$7+((ROW()-52)/99*$C$18/1000)/$C$8+$C$5*$C$9</f>
        <v/>
      </c>
      <c r="D143">
        <f>$C$7+((ROW()-52)/99*$C$18/1000)/$C$8+$C$5*$C$9-($C$7*($C$11/($C$8+$C$11))+((ROW()-52)/99*$C$18/1000)/$C$11)</f>
        <v/>
      </c>
      <c r="E143">
        <f>$C$7+((ROW()-52)/99*$C$18/1000)/$C$8</f>
        <v/>
      </c>
      <c r="G143">
        <f>$H$18*(1-EXP(-(ROW()-52)/99*$H$15/$H$17))</f>
        <v/>
      </c>
      <c r="H143">
        <f>$H$6+$H$4</f>
        <v/>
      </c>
      <c r="I143">
        <f>$H$6+$H$4-($H$6*($H$10/($H$7+$H$10))+($H$18*(1-EXP(-(ROW()-52)/99*$H$15/$H$17))/1000)/$H$10)</f>
        <v/>
      </c>
      <c r="J143">
        <f>$H$6+($H$18*(1-EXP(-(ROW()-52)/99*$H$15/$H$17))/1000)/$H$7</f>
        <v/>
      </c>
    </row>
    <row r="144">
      <c r="B144">
        <f>(ROW()-52)/99*$C$18</f>
        <v/>
      </c>
      <c r="C144">
        <f>$C$7+((ROW()-52)/99*$C$18/1000)/$C$8+$C$5*$C$9</f>
        <v/>
      </c>
      <c r="D144">
        <f>$C$7+((ROW()-52)/99*$C$18/1000)/$C$8+$C$5*$C$9-($C$7*($C$11/($C$8+$C$11))+((ROW()-52)/99*$C$18/1000)/$C$11)</f>
        <v/>
      </c>
      <c r="E144">
        <f>$C$7+((ROW()-52)/99*$C$18/1000)/$C$8</f>
        <v/>
      </c>
      <c r="G144">
        <f>$H$18*(1-EXP(-(ROW()-52)/99*$H$15/$H$17))</f>
        <v/>
      </c>
      <c r="H144">
        <f>$H$6+$H$4</f>
        <v/>
      </c>
      <c r="I144">
        <f>$H$6+$H$4-($H$6*($H$10/($H$7+$H$10))+($H$18*(1-EXP(-(ROW()-52)/99*$H$15/$H$17))/1000)/$H$10)</f>
        <v/>
      </c>
      <c r="J144">
        <f>$H$6+($H$18*(1-EXP(-(ROW()-52)/99*$H$15/$H$17))/1000)/$H$7</f>
        <v/>
      </c>
    </row>
    <row r="145">
      <c r="B145">
        <f>(ROW()-52)/99*$C$18</f>
        <v/>
      </c>
      <c r="C145">
        <f>$C$7+((ROW()-52)/99*$C$18/1000)/$C$8+$C$5*$C$9</f>
        <v/>
      </c>
      <c r="D145">
        <f>$C$7+((ROW()-52)/99*$C$18/1000)/$C$8+$C$5*$C$9-($C$7*($C$11/($C$8+$C$11))+((ROW()-52)/99*$C$18/1000)/$C$11)</f>
        <v/>
      </c>
      <c r="E145">
        <f>$C$7+((ROW()-52)/99*$C$18/1000)/$C$8</f>
        <v/>
      </c>
      <c r="G145">
        <f>$H$18*(1-EXP(-(ROW()-52)/99*$H$15/$H$17))</f>
        <v/>
      </c>
      <c r="H145">
        <f>$H$6+$H$4</f>
        <v/>
      </c>
      <c r="I145">
        <f>$H$6+$H$4-($H$6*($H$10/($H$7+$H$10))+($H$18*(1-EXP(-(ROW()-52)/99*$H$15/$H$17))/1000)/$H$10)</f>
        <v/>
      </c>
      <c r="J145">
        <f>$H$6+($H$18*(1-EXP(-(ROW()-52)/99*$H$15/$H$17))/1000)/$H$7</f>
        <v/>
      </c>
    </row>
    <row r="146">
      <c r="B146">
        <f>(ROW()-52)/99*$C$18</f>
        <v/>
      </c>
      <c r="C146">
        <f>$C$7+((ROW()-52)/99*$C$18/1000)/$C$8+$C$5*$C$9</f>
        <v/>
      </c>
      <c r="D146">
        <f>$C$7+((ROW()-52)/99*$C$18/1000)/$C$8+$C$5*$C$9-($C$7*($C$11/($C$8+$C$11))+((ROW()-52)/99*$C$18/1000)/$C$11)</f>
        <v/>
      </c>
      <c r="E146">
        <f>$C$7+((ROW()-52)/99*$C$18/1000)/$C$8</f>
        <v/>
      </c>
      <c r="G146">
        <f>$H$18*(1-EXP(-(ROW()-52)/99*$H$15/$H$17))</f>
        <v/>
      </c>
      <c r="H146">
        <f>$H$6+$H$4</f>
        <v/>
      </c>
      <c r="I146">
        <f>$H$6+$H$4-($H$6*($H$10/($H$7+$H$10))+($H$18*(1-EXP(-(ROW()-52)/99*$H$15/$H$17))/1000)/$H$10)</f>
        <v/>
      </c>
      <c r="J146">
        <f>$H$6+($H$18*(1-EXP(-(ROW()-52)/99*$H$15/$H$17))/1000)/$H$7</f>
        <v/>
      </c>
    </row>
    <row r="147">
      <c r="B147">
        <f>(ROW()-52)/99*$C$18</f>
        <v/>
      </c>
      <c r="C147">
        <f>$C$7+((ROW()-52)/99*$C$18/1000)/$C$8+$C$5*$C$9</f>
        <v/>
      </c>
      <c r="D147">
        <f>$C$7+((ROW()-52)/99*$C$18/1000)/$C$8+$C$5*$C$9-($C$7*($C$11/($C$8+$C$11))+((ROW()-52)/99*$C$18/1000)/$C$11)</f>
        <v/>
      </c>
      <c r="E147">
        <f>$C$7+((ROW()-52)/99*$C$18/1000)/$C$8</f>
        <v/>
      </c>
      <c r="G147">
        <f>$H$18*(1-EXP(-(ROW()-52)/99*$H$15/$H$17))</f>
        <v/>
      </c>
      <c r="H147">
        <f>$H$6+$H$4</f>
        <v/>
      </c>
      <c r="I147">
        <f>$H$6+$H$4-($H$6*($H$10/($H$7+$H$10))+($H$18*(1-EXP(-(ROW()-52)/99*$H$15/$H$17))/1000)/$H$10)</f>
        <v/>
      </c>
      <c r="J147">
        <f>$H$6+($H$18*(1-EXP(-(ROW()-52)/99*$H$15/$H$17))/1000)/$H$7</f>
        <v/>
      </c>
    </row>
    <row r="148">
      <c r="B148">
        <f>(ROW()-52)/99*$C$18</f>
        <v/>
      </c>
      <c r="C148">
        <f>$C$7+((ROW()-52)/99*$C$18/1000)/$C$8+$C$5*$C$9</f>
        <v/>
      </c>
      <c r="D148">
        <f>$C$7+((ROW()-52)/99*$C$18/1000)/$C$8+$C$5*$C$9-($C$7*($C$11/($C$8+$C$11))+((ROW()-52)/99*$C$18/1000)/$C$11)</f>
        <v/>
      </c>
      <c r="E148">
        <f>$C$7+((ROW()-52)/99*$C$18/1000)/$C$8</f>
        <v/>
      </c>
      <c r="G148">
        <f>$H$18*(1-EXP(-(ROW()-52)/99*$H$15/$H$17))</f>
        <v/>
      </c>
      <c r="H148">
        <f>$H$6+$H$4</f>
        <v/>
      </c>
      <c r="I148">
        <f>$H$6+$H$4-($H$6*($H$10/($H$7+$H$10))+($H$18*(1-EXP(-(ROW()-52)/99*$H$15/$H$17))/1000)/$H$10)</f>
        <v/>
      </c>
      <c r="J148">
        <f>$H$6+($H$18*(1-EXP(-(ROW()-52)/99*$H$15/$H$17))/1000)/$H$7</f>
        <v/>
      </c>
    </row>
    <row r="149">
      <c r="B149">
        <f>(ROW()-52)/99*$C$18</f>
        <v/>
      </c>
      <c r="C149">
        <f>$C$7+((ROW()-52)/99*$C$18/1000)/$C$8+$C$5*$C$9</f>
        <v/>
      </c>
      <c r="D149">
        <f>$C$7+((ROW()-52)/99*$C$18/1000)/$C$8+$C$5*$C$9-($C$7*($C$11/($C$8+$C$11))+((ROW()-52)/99*$C$18/1000)/$C$11)</f>
        <v/>
      </c>
      <c r="E149">
        <f>$C$7+((ROW()-52)/99*$C$18/1000)/$C$8</f>
        <v/>
      </c>
      <c r="G149">
        <f>$H$18*(1-EXP(-(ROW()-52)/99*$H$15/$H$17))</f>
        <v/>
      </c>
      <c r="H149">
        <f>$H$6+$H$4</f>
        <v/>
      </c>
      <c r="I149">
        <f>$H$6+$H$4-($H$6*($H$10/($H$7+$H$10))+($H$18*(1-EXP(-(ROW()-52)/99*$H$15/$H$17))/1000)/$H$10)</f>
        <v/>
      </c>
      <c r="J149">
        <f>$H$6+($H$18*(1-EXP(-(ROW()-52)/99*$H$15/$H$17))/1000)/$H$7</f>
        <v/>
      </c>
    </row>
    <row r="150">
      <c r="B150">
        <f>(ROW()-52)/99*$C$18</f>
        <v/>
      </c>
      <c r="C150">
        <f>$C$7+((ROW()-52)/99*$C$18/1000)/$C$8+$C$5*$C$9</f>
        <v/>
      </c>
      <c r="D150">
        <f>$C$7+((ROW()-52)/99*$C$18/1000)/$C$8+$C$5*$C$9-($C$7*($C$11/($C$8+$C$11))+((ROW()-52)/99*$C$18/1000)/$C$11)</f>
        <v/>
      </c>
      <c r="E150">
        <f>$C$7+((ROW()-52)/99*$C$18/1000)/$C$8</f>
        <v/>
      </c>
      <c r="G150">
        <f>$H$18*(1-EXP(-(ROW()-52)/99*$H$15/$H$17))</f>
        <v/>
      </c>
      <c r="H150">
        <f>$H$6+$H$4</f>
        <v/>
      </c>
      <c r="I150">
        <f>$H$6+$H$4-($H$6*($H$10/($H$7+$H$10))+($H$18*(1-EXP(-(ROW()-52)/99*$H$15/$H$17))/1000)/$H$10)</f>
        <v/>
      </c>
      <c r="J150">
        <f>$H$6+($H$18*(1-EXP(-(ROW()-52)/99*$H$15/$H$17))/1000)/$H$7</f>
        <v/>
      </c>
    </row>
    <row r="151">
      <c r="B151">
        <f>(ROW()-52)/99*$C$18</f>
        <v/>
      </c>
      <c r="C151">
        <f>$C$7+((ROW()-52)/99*$C$18/1000)/$C$8+$C$5*$C$9</f>
        <v/>
      </c>
      <c r="D151">
        <f>$C$7+((ROW()-52)/99*$C$18/1000)/$C$8+$C$5*$C$9-($C$7*($C$11/($C$8+$C$11))+((ROW()-52)/99*$C$18/1000)/$C$11)</f>
        <v/>
      </c>
      <c r="E151">
        <f>$C$7+((ROW()-52)/99*$C$18/1000)/$C$8</f>
        <v/>
      </c>
      <c r="G151">
        <f>$H$18*(1-EXP(-(ROW()-52)/99*$H$15/$H$17))</f>
        <v/>
      </c>
      <c r="H151">
        <f>$H$6+$H$4</f>
        <v/>
      </c>
      <c r="I151">
        <f>$H$6+$H$4-($H$6*($H$10/($H$7+$H$10))+($H$18*(1-EXP(-(ROW()-52)/99*$H$15/$H$17))/1000)/$H$10)</f>
        <v/>
      </c>
      <c r="J151">
        <f>$H$6+($H$18*(1-EXP(-(ROW()-52)/99*$H$15/$H$17))/1000)/$H$7</f>
        <v/>
      </c>
    </row>
    <row r="152">
      <c r="B152">
        <f>$C$18*EXP(-(ROW()-152)/99*$C$16/$C$17*3)</f>
        <v/>
      </c>
      <c r="C152">
        <f>$C$7+($C$18*EXP(-(ROW()-152)/99*$C$16/$C$17*3)/1000)/$C$8</f>
        <v/>
      </c>
      <c r="D152">
        <f>$C$7+($C$18*EXP(-(ROW()-152)/99*$C$16/$C$17*3)/1000)/$C$8-($C$7*($C$11/($C$8+$C$11))+($C$18*EXP(-(ROW()-152)/99*$C$16/$C$17*3)/1000)/$C$11)</f>
        <v/>
      </c>
      <c r="E152">
        <f>$C$7+($C$18*EXP(-(ROW()-152)/99*$C$16/$C$17*3)/1000)/$C$8</f>
        <v/>
      </c>
      <c r="G152">
        <f>$H$18*(1-EXP(-$H$15/$H$17))*EXP(-(ROW()-152)/99*$H$16/$H$17*3)</f>
        <v/>
      </c>
      <c r="H152">
        <f>$H$6+($H$18*(1-EXP(-$H$15/$H$17))*EXP(-(ROW()-152)/99*$H$16/$H$17*3)/1000)/$H$7</f>
        <v/>
      </c>
      <c r="I152">
        <f>$H$6+($H$18*(1-EXP(-$H$15/$H$17))*EXP(-(ROW()-152)/99*$H$16/$H$17*3)/1000)/$H$7-($H$6*($H$10/($H$7+$H$10))+($H$18*(1-EXP(-$H$15/$H$17))*EXP(-(ROW()-152)/99*$H$16/$H$17*3)/1000)/$H$10)</f>
        <v/>
      </c>
      <c r="J152">
        <f>$H$6+($H$18*(1-EXP(-$H$15/$H$17))*EXP(-(ROW()-152)/99*$H$16/$H$17*3)/1000)/$H$7</f>
        <v/>
      </c>
    </row>
    <row r="153">
      <c r="B153">
        <f>$C$18*EXP(-(ROW()-152)/99*$C$16/$C$17*3)</f>
        <v/>
      </c>
      <c r="C153">
        <f>$C$7+($C$18*EXP(-(ROW()-152)/99*$C$16/$C$17*3)/1000)/$C$8</f>
        <v/>
      </c>
      <c r="D153">
        <f>$C$7+($C$18*EXP(-(ROW()-152)/99*$C$16/$C$17*3)/1000)/$C$8-($C$7*($C$11/($C$8+$C$11))+($C$18*EXP(-(ROW()-152)/99*$C$16/$C$17*3)/1000)/$C$11)</f>
        <v/>
      </c>
      <c r="E153">
        <f>$C$7+($C$18*EXP(-(ROW()-152)/99*$C$16/$C$17*3)/1000)/$C$8</f>
        <v/>
      </c>
      <c r="G153">
        <f>$H$18*(1-EXP(-$H$15/$H$17))*EXP(-(ROW()-152)/99*$H$16/$H$17*3)</f>
        <v/>
      </c>
      <c r="H153">
        <f>$H$6+($H$18*(1-EXP(-$H$15/$H$17))*EXP(-(ROW()-152)/99*$H$16/$H$17*3)/1000)/$H$7</f>
        <v/>
      </c>
      <c r="I153">
        <f>$H$6+($H$18*(1-EXP(-$H$15/$H$17))*EXP(-(ROW()-152)/99*$H$16/$H$17*3)/1000)/$H$7-($H$6*($H$10/($H$7+$H$10))+($H$18*(1-EXP(-$H$15/$H$17))*EXP(-(ROW()-152)/99*$H$16/$H$17*3)/1000)/$H$10)</f>
        <v/>
      </c>
      <c r="J153">
        <f>$H$6+($H$18*(1-EXP(-$H$15/$H$17))*EXP(-(ROW()-152)/99*$H$16/$H$17*3)/1000)/$H$7</f>
        <v/>
      </c>
    </row>
    <row r="154">
      <c r="B154">
        <f>$C$18*EXP(-(ROW()-152)/99*$C$16/$C$17*3)</f>
        <v/>
      </c>
      <c r="C154">
        <f>$C$7+($C$18*EXP(-(ROW()-152)/99*$C$16/$C$17*3)/1000)/$C$8</f>
        <v/>
      </c>
      <c r="D154">
        <f>$C$7+($C$18*EXP(-(ROW()-152)/99*$C$16/$C$17*3)/1000)/$C$8-($C$7*($C$11/($C$8+$C$11))+($C$18*EXP(-(ROW()-152)/99*$C$16/$C$17*3)/1000)/$C$11)</f>
        <v/>
      </c>
      <c r="E154">
        <f>$C$7+($C$18*EXP(-(ROW()-152)/99*$C$16/$C$17*3)/1000)/$C$8</f>
        <v/>
      </c>
      <c r="G154">
        <f>$H$18*(1-EXP(-$H$15/$H$17))*EXP(-(ROW()-152)/99*$H$16/$H$17*3)</f>
        <v/>
      </c>
      <c r="H154">
        <f>$H$6+($H$18*(1-EXP(-$H$15/$H$17))*EXP(-(ROW()-152)/99*$H$16/$H$17*3)/1000)/$H$7</f>
        <v/>
      </c>
      <c r="I154">
        <f>$H$6+($H$18*(1-EXP(-$H$15/$H$17))*EXP(-(ROW()-152)/99*$H$16/$H$17*3)/1000)/$H$7-($H$6*($H$10/($H$7+$H$10))+($H$18*(1-EXP(-$H$15/$H$17))*EXP(-(ROW()-152)/99*$H$16/$H$17*3)/1000)/$H$10)</f>
        <v/>
      </c>
      <c r="J154">
        <f>$H$6+($H$18*(1-EXP(-$H$15/$H$17))*EXP(-(ROW()-152)/99*$H$16/$H$17*3)/1000)/$H$7</f>
        <v/>
      </c>
    </row>
    <row r="155">
      <c r="B155">
        <f>$C$18*EXP(-(ROW()-152)/99*$C$16/$C$17*3)</f>
        <v/>
      </c>
      <c r="C155">
        <f>$C$7+($C$18*EXP(-(ROW()-152)/99*$C$16/$C$17*3)/1000)/$C$8</f>
        <v/>
      </c>
      <c r="D155">
        <f>$C$7+($C$18*EXP(-(ROW()-152)/99*$C$16/$C$17*3)/1000)/$C$8-($C$7*($C$11/($C$8+$C$11))+($C$18*EXP(-(ROW()-152)/99*$C$16/$C$17*3)/1000)/$C$11)</f>
        <v/>
      </c>
      <c r="E155">
        <f>$C$7+($C$18*EXP(-(ROW()-152)/99*$C$16/$C$17*3)/1000)/$C$8</f>
        <v/>
      </c>
      <c r="G155">
        <f>$H$18*(1-EXP(-$H$15/$H$17))*EXP(-(ROW()-152)/99*$H$16/$H$17*3)</f>
        <v/>
      </c>
      <c r="H155">
        <f>$H$6+($H$18*(1-EXP(-$H$15/$H$17))*EXP(-(ROW()-152)/99*$H$16/$H$17*3)/1000)/$H$7</f>
        <v/>
      </c>
      <c r="I155">
        <f>$H$6+($H$18*(1-EXP(-$H$15/$H$17))*EXP(-(ROW()-152)/99*$H$16/$H$17*3)/1000)/$H$7-($H$6*($H$10/($H$7+$H$10))+($H$18*(1-EXP(-$H$15/$H$17))*EXP(-(ROW()-152)/99*$H$16/$H$17*3)/1000)/$H$10)</f>
        <v/>
      </c>
      <c r="J155">
        <f>$H$6+($H$18*(1-EXP(-$H$15/$H$17))*EXP(-(ROW()-152)/99*$H$16/$H$17*3)/1000)/$H$7</f>
        <v/>
      </c>
    </row>
    <row r="156">
      <c r="B156">
        <f>$C$18*EXP(-(ROW()-152)/99*$C$16/$C$17*3)</f>
        <v/>
      </c>
      <c r="C156">
        <f>$C$7+($C$18*EXP(-(ROW()-152)/99*$C$16/$C$17*3)/1000)/$C$8</f>
        <v/>
      </c>
      <c r="D156">
        <f>$C$7+($C$18*EXP(-(ROW()-152)/99*$C$16/$C$17*3)/1000)/$C$8-($C$7*($C$11/($C$8+$C$11))+($C$18*EXP(-(ROW()-152)/99*$C$16/$C$17*3)/1000)/$C$11)</f>
        <v/>
      </c>
      <c r="E156">
        <f>$C$7+($C$18*EXP(-(ROW()-152)/99*$C$16/$C$17*3)/1000)/$C$8</f>
        <v/>
      </c>
      <c r="G156">
        <f>$H$18*(1-EXP(-$H$15/$H$17))*EXP(-(ROW()-152)/99*$H$16/$H$17*3)</f>
        <v/>
      </c>
      <c r="H156">
        <f>$H$6+($H$18*(1-EXP(-$H$15/$H$17))*EXP(-(ROW()-152)/99*$H$16/$H$17*3)/1000)/$H$7</f>
        <v/>
      </c>
      <c r="I156">
        <f>$H$6+($H$18*(1-EXP(-$H$15/$H$17))*EXP(-(ROW()-152)/99*$H$16/$H$17*3)/1000)/$H$7-($H$6*($H$10/($H$7+$H$10))+($H$18*(1-EXP(-$H$15/$H$17))*EXP(-(ROW()-152)/99*$H$16/$H$17*3)/1000)/$H$10)</f>
        <v/>
      </c>
      <c r="J156">
        <f>$H$6+($H$18*(1-EXP(-$H$15/$H$17))*EXP(-(ROW()-152)/99*$H$16/$H$17*3)/1000)/$H$7</f>
        <v/>
      </c>
    </row>
    <row r="157">
      <c r="B157">
        <f>$C$18*EXP(-(ROW()-152)/99*$C$16/$C$17*3)</f>
        <v/>
      </c>
      <c r="C157">
        <f>$C$7+($C$18*EXP(-(ROW()-152)/99*$C$16/$C$17*3)/1000)/$C$8</f>
        <v/>
      </c>
      <c r="D157">
        <f>$C$7+($C$18*EXP(-(ROW()-152)/99*$C$16/$C$17*3)/1000)/$C$8-($C$7*($C$11/($C$8+$C$11))+($C$18*EXP(-(ROW()-152)/99*$C$16/$C$17*3)/1000)/$C$11)</f>
        <v/>
      </c>
      <c r="E157">
        <f>$C$7+($C$18*EXP(-(ROW()-152)/99*$C$16/$C$17*3)/1000)/$C$8</f>
        <v/>
      </c>
      <c r="G157">
        <f>$H$18*(1-EXP(-$H$15/$H$17))*EXP(-(ROW()-152)/99*$H$16/$H$17*3)</f>
        <v/>
      </c>
      <c r="H157">
        <f>$H$6+($H$18*(1-EXP(-$H$15/$H$17))*EXP(-(ROW()-152)/99*$H$16/$H$17*3)/1000)/$H$7</f>
        <v/>
      </c>
      <c r="I157">
        <f>$H$6+($H$18*(1-EXP(-$H$15/$H$17))*EXP(-(ROW()-152)/99*$H$16/$H$17*3)/1000)/$H$7-($H$6*($H$10/($H$7+$H$10))+($H$18*(1-EXP(-$H$15/$H$17))*EXP(-(ROW()-152)/99*$H$16/$H$17*3)/1000)/$H$10)</f>
        <v/>
      </c>
      <c r="J157">
        <f>$H$6+($H$18*(1-EXP(-$H$15/$H$17))*EXP(-(ROW()-152)/99*$H$16/$H$17*3)/1000)/$H$7</f>
        <v/>
      </c>
    </row>
    <row r="158">
      <c r="B158">
        <f>$C$18*EXP(-(ROW()-152)/99*$C$16/$C$17*3)</f>
        <v/>
      </c>
      <c r="C158">
        <f>$C$7+($C$18*EXP(-(ROW()-152)/99*$C$16/$C$17*3)/1000)/$C$8</f>
        <v/>
      </c>
      <c r="D158">
        <f>$C$7+($C$18*EXP(-(ROW()-152)/99*$C$16/$C$17*3)/1000)/$C$8-($C$7*($C$11/($C$8+$C$11))+($C$18*EXP(-(ROW()-152)/99*$C$16/$C$17*3)/1000)/$C$11)</f>
        <v/>
      </c>
      <c r="E158">
        <f>$C$7+($C$18*EXP(-(ROW()-152)/99*$C$16/$C$17*3)/1000)/$C$8</f>
        <v/>
      </c>
      <c r="G158">
        <f>$H$18*(1-EXP(-$H$15/$H$17))*EXP(-(ROW()-152)/99*$H$16/$H$17*3)</f>
        <v/>
      </c>
      <c r="H158">
        <f>$H$6+($H$18*(1-EXP(-$H$15/$H$17))*EXP(-(ROW()-152)/99*$H$16/$H$17*3)/1000)/$H$7</f>
        <v/>
      </c>
      <c r="I158">
        <f>$H$6+($H$18*(1-EXP(-$H$15/$H$17))*EXP(-(ROW()-152)/99*$H$16/$H$17*3)/1000)/$H$7-($H$6*($H$10/($H$7+$H$10))+($H$18*(1-EXP(-$H$15/$H$17))*EXP(-(ROW()-152)/99*$H$16/$H$17*3)/1000)/$H$10)</f>
        <v/>
      </c>
      <c r="J158">
        <f>$H$6+($H$18*(1-EXP(-$H$15/$H$17))*EXP(-(ROW()-152)/99*$H$16/$H$17*3)/1000)/$H$7</f>
        <v/>
      </c>
    </row>
    <row r="159">
      <c r="B159">
        <f>$C$18*EXP(-(ROW()-152)/99*$C$16/$C$17*3)</f>
        <v/>
      </c>
      <c r="C159">
        <f>$C$7+($C$18*EXP(-(ROW()-152)/99*$C$16/$C$17*3)/1000)/$C$8</f>
        <v/>
      </c>
      <c r="D159">
        <f>$C$7+($C$18*EXP(-(ROW()-152)/99*$C$16/$C$17*3)/1000)/$C$8-($C$7*($C$11/($C$8+$C$11))+($C$18*EXP(-(ROW()-152)/99*$C$16/$C$17*3)/1000)/$C$11)</f>
        <v/>
      </c>
      <c r="E159">
        <f>$C$7+($C$18*EXP(-(ROW()-152)/99*$C$16/$C$17*3)/1000)/$C$8</f>
        <v/>
      </c>
      <c r="G159">
        <f>$H$18*(1-EXP(-$H$15/$H$17))*EXP(-(ROW()-152)/99*$H$16/$H$17*3)</f>
        <v/>
      </c>
      <c r="H159">
        <f>$H$6+($H$18*(1-EXP(-$H$15/$H$17))*EXP(-(ROW()-152)/99*$H$16/$H$17*3)/1000)/$H$7</f>
        <v/>
      </c>
      <c r="I159">
        <f>$H$6+($H$18*(1-EXP(-$H$15/$H$17))*EXP(-(ROW()-152)/99*$H$16/$H$17*3)/1000)/$H$7-($H$6*($H$10/($H$7+$H$10))+($H$18*(1-EXP(-$H$15/$H$17))*EXP(-(ROW()-152)/99*$H$16/$H$17*3)/1000)/$H$10)</f>
        <v/>
      </c>
      <c r="J159">
        <f>$H$6+($H$18*(1-EXP(-$H$15/$H$17))*EXP(-(ROW()-152)/99*$H$16/$H$17*3)/1000)/$H$7</f>
        <v/>
      </c>
    </row>
    <row r="160">
      <c r="B160">
        <f>$C$18*EXP(-(ROW()-152)/99*$C$16/$C$17*3)</f>
        <v/>
      </c>
      <c r="C160">
        <f>$C$7+($C$18*EXP(-(ROW()-152)/99*$C$16/$C$17*3)/1000)/$C$8</f>
        <v/>
      </c>
      <c r="D160">
        <f>$C$7+($C$18*EXP(-(ROW()-152)/99*$C$16/$C$17*3)/1000)/$C$8-($C$7*($C$11/($C$8+$C$11))+($C$18*EXP(-(ROW()-152)/99*$C$16/$C$17*3)/1000)/$C$11)</f>
        <v/>
      </c>
      <c r="E160">
        <f>$C$7+($C$18*EXP(-(ROW()-152)/99*$C$16/$C$17*3)/1000)/$C$8</f>
        <v/>
      </c>
      <c r="G160">
        <f>$H$18*(1-EXP(-$H$15/$H$17))*EXP(-(ROW()-152)/99*$H$16/$H$17*3)</f>
        <v/>
      </c>
      <c r="H160">
        <f>$H$6+($H$18*(1-EXP(-$H$15/$H$17))*EXP(-(ROW()-152)/99*$H$16/$H$17*3)/1000)/$H$7</f>
        <v/>
      </c>
      <c r="I160">
        <f>$H$6+($H$18*(1-EXP(-$H$15/$H$17))*EXP(-(ROW()-152)/99*$H$16/$H$17*3)/1000)/$H$7-($H$6*($H$10/($H$7+$H$10))+($H$18*(1-EXP(-$H$15/$H$17))*EXP(-(ROW()-152)/99*$H$16/$H$17*3)/1000)/$H$10)</f>
        <v/>
      </c>
      <c r="J160">
        <f>$H$6+($H$18*(1-EXP(-$H$15/$H$17))*EXP(-(ROW()-152)/99*$H$16/$H$17*3)/1000)/$H$7</f>
        <v/>
      </c>
    </row>
    <row r="161">
      <c r="B161">
        <f>$C$18*EXP(-(ROW()-152)/99*$C$16/$C$17*3)</f>
        <v/>
      </c>
      <c r="C161">
        <f>$C$7+($C$18*EXP(-(ROW()-152)/99*$C$16/$C$17*3)/1000)/$C$8</f>
        <v/>
      </c>
      <c r="D161">
        <f>$C$7+($C$18*EXP(-(ROW()-152)/99*$C$16/$C$17*3)/1000)/$C$8-($C$7*($C$11/($C$8+$C$11))+($C$18*EXP(-(ROW()-152)/99*$C$16/$C$17*3)/1000)/$C$11)</f>
        <v/>
      </c>
      <c r="E161">
        <f>$C$7+($C$18*EXP(-(ROW()-152)/99*$C$16/$C$17*3)/1000)/$C$8</f>
        <v/>
      </c>
      <c r="G161">
        <f>$H$18*(1-EXP(-$H$15/$H$17))*EXP(-(ROW()-152)/99*$H$16/$H$17*3)</f>
        <v/>
      </c>
      <c r="H161">
        <f>$H$6+($H$18*(1-EXP(-$H$15/$H$17))*EXP(-(ROW()-152)/99*$H$16/$H$17*3)/1000)/$H$7</f>
        <v/>
      </c>
      <c r="I161">
        <f>$H$6+($H$18*(1-EXP(-$H$15/$H$17))*EXP(-(ROW()-152)/99*$H$16/$H$17*3)/1000)/$H$7-($H$6*($H$10/($H$7+$H$10))+($H$18*(1-EXP(-$H$15/$H$17))*EXP(-(ROW()-152)/99*$H$16/$H$17*3)/1000)/$H$10)</f>
        <v/>
      </c>
      <c r="J161">
        <f>$H$6+($H$18*(1-EXP(-$H$15/$H$17))*EXP(-(ROW()-152)/99*$H$16/$H$17*3)/1000)/$H$7</f>
        <v/>
      </c>
    </row>
    <row r="162">
      <c r="B162">
        <f>$C$18*EXP(-(ROW()-152)/99*$C$16/$C$17*3)</f>
        <v/>
      </c>
      <c r="C162">
        <f>$C$7+($C$18*EXP(-(ROW()-152)/99*$C$16/$C$17*3)/1000)/$C$8</f>
        <v/>
      </c>
      <c r="D162">
        <f>$C$7+($C$18*EXP(-(ROW()-152)/99*$C$16/$C$17*3)/1000)/$C$8-($C$7*($C$11/($C$8+$C$11))+($C$18*EXP(-(ROW()-152)/99*$C$16/$C$17*3)/1000)/$C$11)</f>
        <v/>
      </c>
      <c r="E162">
        <f>$C$7+($C$18*EXP(-(ROW()-152)/99*$C$16/$C$17*3)/1000)/$C$8</f>
        <v/>
      </c>
      <c r="G162">
        <f>$H$18*(1-EXP(-$H$15/$H$17))*EXP(-(ROW()-152)/99*$H$16/$H$17*3)</f>
        <v/>
      </c>
      <c r="H162">
        <f>$H$6+($H$18*(1-EXP(-$H$15/$H$17))*EXP(-(ROW()-152)/99*$H$16/$H$17*3)/1000)/$H$7</f>
        <v/>
      </c>
      <c r="I162">
        <f>$H$6+($H$18*(1-EXP(-$H$15/$H$17))*EXP(-(ROW()-152)/99*$H$16/$H$17*3)/1000)/$H$7-($H$6*($H$10/($H$7+$H$10))+($H$18*(1-EXP(-$H$15/$H$17))*EXP(-(ROW()-152)/99*$H$16/$H$17*3)/1000)/$H$10)</f>
        <v/>
      </c>
      <c r="J162">
        <f>$H$6+($H$18*(1-EXP(-$H$15/$H$17))*EXP(-(ROW()-152)/99*$H$16/$H$17*3)/1000)/$H$7</f>
        <v/>
      </c>
    </row>
    <row r="163">
      <c r="B163">
        <f>$C$18*EXP(-(ROW()-152)/99*$C$16/$C$17*3)</f>
        <v/>
      </c>
      <c r="C163">
        <f>$C$7+($C$18*EXP(-(ROW()-152)/99*$C$16/$C$17*3)/1000)/$C$8</f>
        <v/>
      </c>
      <c r="D163">
        <f>$C$7+($C$18*EXP(-(ROW()-152)/99*$C$16/$C$17*3)/1000)/$C$8-($C$7*($C$11/($C$8+$C$11))+($C$18*EXP(-(ROW()-152)/99*$C$16/$C$17*3)/1000)/$C$11)</f>
        <v/>
      </c>
      <c r="E163">
        <f>$C$7+($C$18*EXP(-(ROW()-152)/99*$C$16/$C$17*3)/1000)/$C$8</f>
        <v/>
      </c>
      <c r="G163">
        <f>$H$18*(1-EXP(-$H$15/$H$17))*EXP(-(ROW()-152)/99*$H$16/$H$17*3)</f>
        <v/>
      </c>
      <c r="H163">
        <f>$H$6+($H$18*(1-EXP(-$H$15/$H$17))*EXP(-(ROW()-152)/99*$H$16/$H$17*3)/1000)/$H$7</f>
        <v/>
      </c>
      <c r="I163">
        <f>$H$6+($H$18*(1-EXP(-$H$15/$H$17))*EXP(-(ROW()-152)/99*$H$16/$H$17*3)/1000)/$H$7-($H$6*($H$10/($H$7+$H$10))+($H$18*(1-EXP(-$H$15/$H$17))*EXP(-(ROW()-152)/99*$H$16/$H$17*3)/1000)/$H$10)</f>
        <v/>
      </c>
      <c r="J163">
        <f>$H$6+($H$18*(1-EXP(-$H$15/$H$17))*EXP(-(ROW()-152)/99*$H$16/$H$17*3)/1000)/$H$7</f>
        <v/>
      </c>
    </row>
    <row r="164">
      <c r="B164">
        <f>$C$18*EXP(-(ROW()-152)/99*$C$16/$C$17*3)</f>
        <v/>
      </c>
      <c r="C164">
        <f>$C$7+($C$18*EXP(-(ROW()-152)/99*$C$16/$C$17*3)/1000)/$C$8</f>
        <v/>
      </c>
      <c r="D164">
        <f>$C$7+($C$18*EXP(-(ROW()-152)/99*$C$16/$C$17*3)/1000)/$C$8-($C$7*($C$11/($C$8+$C$11))+($C$18*EXP(-(ROW()-152)/99*$C$16/$C$17*3)/1000)/$C$11)</f>
        <v/>
      </c>
      <c r="E164">
        <f>$C$7+($C$18*EXP(-(ROW()-152)/99*$C$16/$C$17*3)/1000)/$C$8</f>
        <v/>
      </c>
      <c r="G164">
        <f>$H$18*(1-EXP(-$H$15/$H$17))*EXP(-(ROW()-152)/99*$H$16/$H$17*3)</f>
        <v/>
      </c>
      <c r="H164">
        <f>$H$6+($H$18*(1-EXP(-$H$15/$H$17))*EXP(-(ROW()-152)/99*$H$16/$H$17*3)/1000)/$H$7</f>
        <v/>
      </c>
      <c r="I164">
        <f>$H$6+($H$18*(1-EXP(-$H$15/$H$17))*EXP(-(ROW()-152)/99*$H$16/$H$17*3)/1000)/$H$7-($H$6*($H$10/($H$7+$H$10))+($H$18*(1-EXP(-$H$15/$H$17))*EXP(-(ROW()-152)/99*$H$16/$H$17*3)/1000)/$H$10)</f>
        <v/>
      </c>
      <c r="J164">
        <f>$H$6+($H$18*(1-EXP(-$H$15/$H$17))*EXP(-(ROW()-152)/99*$H$16/$H$17*3)/1000)/$H$7</f>
        <v/>
      </c>
    </row>
    <row r="165">
      <c r="B165">
        <f>$C$18*EXP(-(ROW()-152)/99*$C$16/$C$17*3)</f>
        <v/>
      </c>
      <c r="C165">
        <f>$C$7+($C$18*EXP(-(ROW()-152)/99*$C$16/$C$17*3)/1000)/$C$8</f>
        <v/>
      </c>
      <c r="D165">
        <f>$C$7+($C$18*EXP(-(ROW()-152)/99*$C$16/$C$17*3)/1000)/$C$8-($C$7*($C$11/($C$8+$C$11))+($C$18*EXP(-(ROW()-152)/99*$C$16/$C$17*3)/1000)/$C$11)</f>
        <v/>
      </c>
      <c r="E165">
        <f>$C$7+($C$18*EXP(-(ROW()-152)/99*$C$16/$C$17*3)/1000)/$C$8</f>
        <v/>
      </c>
      <c r="G165">
        <f>$H$18*(1-EXP(-$H$15/$H$17))*EXP(-(ROW()-152)/99*$H$16/$H$17*3)</f>
        <v/>
      </c>
      <c r="H165">
        <f>$H$6+($H$18*(1-EXP(-$H$15/$H$17))*EXP(-(ROW()-152)/99*$H$16/$H$17*3)/1000)/$H$7</f>
        <v/>
      </c>
      <c r="I165">
        <f>$H$6+($H$18*(1-EXP(-$H$15/$H$17))*EXP(-(ROW()-152)/99*$H$16/$H$17*3)/1000)/$H$7-($H$6*($H$10/($H$7+$H$10))+($H$18*(1-EXP(-$H$15/$H$17))*EXP(-(ROW()-152)/99*$H$16/$H$17*3)/1000)/$H$10)</f>
        <v/>
      </c>
      <c r="J165">
        <f>$H$6+($H$18*(1-EXP(-$H$15/$H$17))*EXP(-(ROW()-152)/99*$H$16/$H$17*3)/1000)/$H$7</f>
        <v/>
      </c>
    </row>
    <row r="166">
      <c r="B166">
        <f>$C$18*EXP(-(ROW()-152)/99*$C$16/$C$17*3)</f>
        <v/>
      </c>
      <c r="C166">
        <f>$C$7+($C$18*EXP(-(ROW()-152)/99*$C$16/$C$17*3)/1000)/$C$8</f>
        <v/>
      </c>
      <c r="D166">
        <f>$C$7+($C$18*EXP(-(ROW()-152)/99*$C$16/$C$17*3)/1000)/$C$8-($C$7*($C$11/($C$8+$C$11))+($C$18*EXP(-(ROW()-152)/99*$C$16/$C$17*3)/1000)/$C$11)</f>
        <v/>
      </c>
      <c r="E166">
        <f>$C$7+($C$18*EXP(-(ROW()-152)/99*$C$16/$C$17*3)/1000)/$C$8</f>
        <v/>
      </c>
      <c r="G166">
        <f>$H$18*(1-EXP(-$H$15/$H$17))*EXP(-(ROW()-152)/99*$H$16/$H$17*3)</f>
        <v/>
      </c>
      <c r="H166">
        <f>$H$6+($H$18*(1-EXP(-$H$15/$H$17))*EXP(-(ROW()-152)/99*$H$16/$H$17*3)/1000)/$H$7</f>
        <v/>
      </c>
      <c r="I166">
        <f>$H$6+($H$18*(1-EXP(-$H$15/$H$17))*EXP(-(ROW()-152)/99*$H$16/$H$17*3)/1000)/$H$7-($H$6*($H$10/($H$7+$H$10))+($H$18*(1-EXP(-$H$15/$H$17))*EXP(-(ROW()-152)/99*$H$16/$H$17*3)/1000)/$H$10)</f>
        <v/>
      </c>
      <c r="J166">
        <f>$H$6+($H$18*(1-EXP(-$H$15/$H$17))*EXP(-(ROW()-152)/99*$H$16/$H$17*3)/1000)/$H$7</f>
        <v/>
      </c>
    </row>
    <row r="167">
      <c r="B167">
        <f>$C$18*EXP(-(ROW()-152)/99*$C$16/$C$17*3)</f>
        <v/>
      </c>
      <c r="C167">
        <f>$C$7+($C$18*EXP(-(ROW()-152)/99*$C$16/$C$17*3)/1000)/$C$8</f>
        <v/>
      </c>
      <c r="D167">
        <f>$C$7+($C$18*EXP(-(ROW()-152)/99*$C$16/$C$17*3)/1000)/$C$8-($C$7*($C$11/($C$8+$C$11))+($C$18*EXP(-(ROW()-152)/99*$C$16/$C$17*3)/1000)/$C$11)</f>
        <v/>
      </c>
      <c r="E167">
        <f>$C$7+($C$18*EXP(-(ROW()-152)/99*$C$16/$C$17*3)/1000)/$C$8</f>
        <v/>
      </c>
      <c r="G167">
        <f>$H$18*(1-EXP(-$H$15/$H$17))*EXP(-(ROW()-152)/99*$H$16/$H$17*3)</f>
        <v/>
      </c>
      <c r="H167">
        <f>$H$6+($H$18*(1-EXP(-$H$15/$H$17))*EXP(-(ROW()-152)/99*$H$16/$H$17*3)/1000)/$H$7</f>
        <v/>
      </c>
      <c r="I167">
        <f>$H$6+($H$18*(1-EXP(-$H$15/$H$17))*EXP(-(ROW()-152)/99*$H$16/$H$17*3)/1000)/$H$7-($H$6*($H$10/($H$7+$H$10))+($H$18*(1-EXP(-$H$15/$H$17))*EXP(-(ROW()-152)/99*$H$16/$H$17*3)/1000)/$H$10)</f>
        <v/>
      </c>
      <c r="J167">
        <f>$H$6+($H$18*(1-EXP(-$H$15/$H$17))*EXP(-(ROW()-152)/99*$H$16/$H$17*3)/1000)/$H$7</f>
        <v/>
      </c>
    </row>
    <row r="168">
      <c r="B168">
        <f>$C$18*EXP(-(ROW()-152)/99*$C$16/$C$17*3)</f>
        <v/>
      </c>
      <c r="C168">
        <f>$C$7+($C$18*EXP(-(ROW()-152)/99*$C$16/$C$17*3)/1000)/$C$8</f>
        <v/>
      </c>
      <c r="D168">
        <f>$C$7+($C$18*EXP(-(ROW()-152)/99*$C$16/$C$17*3)/1000)/$C$8-($C$7*($C$11/($C$8+$C$11))+($C$18*EXP(-(ROW()-152)/99*$C$16/$C$17*3)/1000)/$C$11)</f>
        <v/>
      </c>
      <c r="E168">
        <f>$C$7+($C$18*EXP(-(ROW()-152)/99*$C$16/$C$17*3)/1000)/$C$8</f>
        <v/>
      </c>
      <c r="G168">
        <f>$H$18*(1-EXP(-$H$15/$H$17))*EXP(-(ROW()-152)/99*$H$16/$H$17*3)</f>
        <v/>
      </c>
      <c r="H168">
        <f>$H$6+($H$18*(1-EXP(-$H$15/$H$17))*EXP(-(ROW()-152)/99*$H$16/$H$17*3)/1000)/$H$7</f>
        <v/>
      </c>
      <c r="I168">
        <f>$H$6+($H$18*(1-EXP(-$H$15/$H$17))*EXP(-(ROW()-152)/99*$H$16/$H$17*3)/1000)/$H$7-($H$6*($H$10/($H$7+$H$10))+($H$18*(1-EXP(-$H$15/$H$17))*EXP(-(ROW()-152)/99*$H$16/$H$17*3)/1000)/$H$10)</f>
        <v/>
      </c>
      <c r="J168">
        <f>$H$6+($H$18*(1-EXP(-$H$15/$H$17))*EXP(-(ROW()-152)/99*$H$16/$H$17*3)/1000)/$H$7</f>
        <v/>
      </c>
    </row>
    <row r="169">
      <c r="B169">
        <f>$C$18*EXP(-(ROW()-152)/99*$C$16/$C$17*3)</f>
        <v/>
      </c>
      <c r="C169">
        <f>$C$7+($C$18*EXP(-(ROW()-152)/99*$C$16/$C$17*3)/1000)/$C$8</f>
        <v/>
      </c>
      <c r="D169">
        <f>$C$7+($C$18*EXP(-(ROW()-152)/99*$C$16/$C$17*3)/1000)/$C$8-($C$7*($C$11/($C$8+$C$11))+($C$18*EXP(-(ROW()-152)/99*$C$16/$C$17*3)/1000)/$C$11)</f>
        <v/>
      </c>
      <c r="E169">
        <f>$C$7+($C$18*EXP(-(ROW()-152)/99*$C$16/$C$17*3)/1000)/$C$8</f>
        <v/>
      </c>
      <c r="G169">
        <f>$H$18*(1-EXP(-$H$15/$H$17))*EXP(-(ROW()-152)/99*$H$16/$H$17*3)</f>
        <v/>
      </c>
      <c r="H169">
        <f>$H$6+($H$18*(1-EXP(-$H$15/$H$17))*EXP(-(ROW()-152)/99*$H$16/$H$17*3)/1000)/$H$7</f>
        <v/>
      </c>
      <c r="I169">
        <f>$H$6+($H$18*(1-EXP(-$H$15/$H$17))*EXP(-(ROW()-152)/99*$H$16/$H$17*3)/1000)/$H$7-($H$6*($H$10/($H$7+$H$10))+($H$18*(1-EXP(-$H$15/$H$17))*EXP(-(ROW()-152)/99*$H$16/$H$17*3)/1000)/$H$10)</f>
        <v/>
      </c>
      <c r="J169">
        <f>$H$6+($H$18*(1-EXP(-$H$15/$H$17))*EXP(-(ROW()-152)/99*$H$16/$H$17*3)/1000)/$H$7</f>
        <v/>
      </c>
    </row>
    <row r="170">
      <c r="B170">
        <f>$C$18*EXP(-(ROW()-152)/99*$C$16/$C$17*3)</f>
        <v/>
      </c>
      <c r="C170">
        <f>$C$7+($C$18*EXP(-(ROW()-152)/99*$C$16/$C$17*3)/1000)/$C$8</f>
        <v/>
      </c>
      <c r="D170">
        <f>$C$7+($C$18*EXP(-(ROW()-152)/99*$C$16/$C$17*3)/1000)/$C$8-($C$7*($C$11/($C$8+$C$11))+($C$18*EXP(-(ROW()-152)/99*$C$16/$C$17*3)/1000)/$C$11)</f>
        <v/>
      </c>
      <c r="E170">
        <f>$C$7+($C$18*EXP(-(ROW()-152)/99*$C$16/$C$17*3)/1000)/$C$8</f>
        <v/>
      </c>
      <c r="G170">
        <f>$H$18*(1-EXP(-$H$15/$H$17))*EXP(-(ROW()-152)/99*$H$16/$H$17*3)</f>
        <v/>
      </c>
      <c r="H170">
        <f>$H$6+($H$18*(1-EXP(-$H$15/$H$17))*EXP(-(ROW()-152)/99*$H$16/$H$17*3)/1000)/$H$7</f>
        <v/>
      </c>
      <c r="I170">
        <f>$H$6+($H$18*(1-EXP(-$H$15/$H$17))*EXP(-(ROW()-152)/99*$H$16/$H$17*3)/1000)/$H$7-($H$6*($H$10/($H$7+$H$10))+($H$18*(1-EXP(-$H$15/$H$17))*EXP(-(ROW()-152)/99*$H$16/$H$17*3)/1000)/$H$10)</f>
        <v/>
      </c>
      <c r="J170">
        <f>$H$6+($H$18*(1-EXP(-$H$15/$H$17))*EXP(-(ROW()-152)/99*$H$16/$H$17*3)/1000)/$H$7</f>
        <v/>
      </c>
    </row>
    <row r="171">
      <c r="B171">
        <f>$C$18*EXP(-(ROW()-152)/99*$C$16/$C$17*3)</f>
        <v/>
      </c>
      <c r="C171">
        <f>$C$7+($C$18*EXP(-(ROW()-152)/99*$C$16/$C$17*3)/1000)/$C$8</f>
        <v/>
      </c>
      <c r="D171">
        <f>$C$7+($C$18*EXP(-(ROW()-152)/99*$C$16/$C$17*3)/1000)/$C$8-($C$7*($C$11/($C$8+$C$11))+($C$18*EXP(-(ROW()-152)/99*$C$16/$C$17*3)/1000)/$C$11)</f>
        <v/>
      </c>
      <c r="E171">
        <f>$C$7+($C$18*EXP(-(ROW()-152)/99*$C$16/$C$17*3)/1000)/$C$8</f>
        <v/>
      </c>
      <c r="G171">
        <f>$H$18*(1-EXP(-$H$15/$H$17))*EXP(-(ROW()-152)/99*$H$16/$H$17*3)</f>
        <v/>
      </c>
      <c r="H171">
        <f>$H$6+($H$18*(1-EXP(-$H$15/$H$17))*EXP(-(ROW()-152)/99*$H$16/$H$17*3)/1000)/$H$7</f>
        <v/>
      </c>
      <c r="I171">
        <f>$H$6+($H$18*(1-EXP(-$H$15/$H$17))*EXP(-(ROW()-152)/99*$H$16/$H$17*3)/1000)/$H$7-($H$6*($H$10/($H$7+$H$10))+($H$18*(1-EXP(-$H$15/$H$17))*EXP(-(ROW()-152)/99*$H$16/$H$17*3)/1000)/$H$10)</f>
        <v/>
      </c>
      <c r="J171">
        <f>$H$6+($H$18*(1-EXP(-$H$15/$H$17))*EXP(-(ROW()-152)/99*$H$16/$H$17*3)/1000)/$H$7</f>
        <v/>
      </c>
    </row>
    <row r="172">
      <c r="B172">
        <f>$C$18*EXP(-(ROW()-152)/99*$C$16/$C$17*3)</f>
        <v/>
      </c>
      <c r="C172">
        <f>$C$7+($C$18*EXP(-(ROW()-152)/99*$C$16/$C$17*3)/1000)/$C$8</f>
        <v/>
      </c>
      <c r="D172">
        <f>$C$7+($C$18*EXP(-(ROW()-152)/99*$C$16/$C$17*3)/1000)/$C$8-($C$7*($C$11/($C$8+$C$11))+($C$18*EXP(-(ROW()-152)/99*$C$16/$C$17*3)/1000)/$C$11)</f>
        <v/>
      </c>
      <c r="E172">
        <f>$C$7+($C$18*EXP(-(ROW()-152)/99*$C$16/$C$17*3)/1000)/$C$8</f>
        <v/>
      </c>
      <c r="G172">
        <f>$H$18*(1-EXP(-$H$15/$H$17))*EXP(-(ROW()-152)/99*$H$16/$H$17*3)</f>
        <v/>
      </c>
      <c r="H172">
        <f>$H$6+($H$18*(1-EXP(-$H$15/$H$17))*EXP(-(ROW()-152)/99*$H$16/$H$17*3)/1000)/$H$7</f>
        <v/>
      </c>
      <c r="I172">
        <f>$H$6+($H$18*(1-EXP(-$H$15/$H$17))*EXP(-(ROW()-152)/99*$H$16/$H$17*3)/1000)/$H$7-($H$6*($H$10/($H$7+$H$10))+($H$18*(1-EXP(-$H$15/$H$17))*EXP(-(ROW()-152)/99*$H$16/$H$17*3)/1000)/$H$10)</f>
        <v/>
      </c>
      <c r="J172">
        <f>$H$6+($H$18*(1-EXP(-$H$15/$H$17))*EXP(-(ROW()-152)/99*$H$16/$H$17*3)/1000)/$H$7</f>
        <v/>
      </c>
    </row>
    <row r="173">
      <c r="B173">
        <f>$C$18*EXP(-(ROW()-152)/99*$C$16/$C$17*3)</f>
        <v/>
      </c>
      <c r="C173">
        <f>$C$7+($C$18*EXP(-(ROW()-152)/99*$C$16/$C$17*3)/1000)/$C$8</f>
        <v/>
      </c>
      <c r="D173">
        <f>$C$7+($C$18*EXP(-(ROW()-152)/99*$C$16/$C$17*3)/1000)/$C$8-($C$7*($C$11/($C$8+$C$11))+($C$18*EXP(-(ROW()-152)/99*$C$16/$C$17*3)/1000)/$C$11)</f>
        <v/>
      </c>
      <c r="E173">
        <f>$C$7+($C$18*EXP(-(ROW()-152)/99*$C$16/$C$17*3)/1000)/$C$8</f>
        <v/>
      </c>
      <c r="G173">
        <f>$H$18*(1-EXP(-$H$15/$H$17))*EXP(-(ROW()-152)/99*$H$16/$H$17*3)</f>
        <v/>
      </c>
      <c r="H173">
        <f>$H$6+($H$18*(1-EXP(-$H$15/$H$17))*EXP(-(ROW()-152)/99*$H$16/$H$17*3)/1000)/$H$7</f>
        <v/>
      </c>
      <c r="I173">
        <f>$H$6+($H$18*(1-EXP(-$H$15/$H$17))*EXP(-(ROW()-152)/99*$H$16/$H$17*3)/1000)/$H$7-($H$6*($H$10/($H$7+$H$10))+($H$18*(1-EXP(-$H$15/$H$17))*EXP(-(ROW()-152)/99*$H$16/$H$17*3)/1000)/$H$10)</f>
        <v/>
      </c>
      <c r="J173">
        <f>$H$6+($H$18*(1-EXP(-$H$15/$H$17))*EXP(-(ROW()-152)/99*$H$16/$H$17*3)/1000)/$H$7</f>
        <v/>
      </c>
    </row>
    <row r="174">
      <c r="B174">
        <f>$C$18*EXP(-(ROW()-152)/99*$C$16/$C$17*3)</f>
        <v/>
      </c>
      <c r="C174">
        <f>$C$7+($C$18*EXP(-(ROW()-152)/99*$C$16/$C$17*3)/1000)/$C$8</f>
        <v/>
      </c>
      <c r="D174">
        <f>$C$7+($C$18*EXP(-(ROW()-152)/99*$C$16/$C$17*3)/1000)/$C$8-($C$7*($C$11/($C$8+$C$11))+($C$18*EXP(-(ROW()-152)/99*$C$16/$C$17*3)/1000)/$C$11)</f>
        <v/>
      </c>
      <c r="E174">
        <f>$C$7+($C$18*EXP(-(ROW()-152)/99*$C$16/$C$17*3)/1000)/$C$8</f>
        <v/>
      </c>
      <c r="G174">
        <f>$H$18*(1-EXP(-$H$15/$H$17))*EXP(-(ROW()-152)/99*$H$16/$H$17*3)</f>
        <v/>
      </c>
      <c r="H174">
        <f>$H$6+($H$18*(1-EXP(-$H$15/$H$17))*EXP(-(ROW()-152)/99*$H$16/$H$17*3)/1000)/$H$7</f>
        <v/>
      </c>
      <c r="I174">
        <f>$H$6+($H$18*(1-EXP(-$H$15/$H$17))*EXP(-(ROW()-152)/99*$H$16/$H$17*3)/1000)/$H$7-($H$6*($H$10/($H$7+$H$10))+($H$18*(1-EXP(-$H$15/$H$17))*EXP(-(ROW()-152)/99*$H$16/$H$17*3)/1000)/$H$10)</f>
        <v/>
      </c>
      <c r="J174">
        <f>$H$6+($H$18*(1-EXP(-$H$15/$H$17))*EXP(-(ROW()-152)/99*$H$16/$H$17*3)/1000)/$H$7</f>
        <v/>
      </c>
    </row>
    <row r="175">
      <c r="B175">
        <f>$C$18*EXP(-(ROW()-152)/99*$C$16/$C$17*3)</f>
        <v/>
      </c>
      <c r="C175">
        <f>$C$7+($C$18*EXP(-(ROW()-152)/99*$C$16/$C$17*3)/1000)/$C$8</f>
        <v/>
      </c>
      <c r="D175">
        <f>$C$7+($C$18*EXP(-(ROW()-152)/99*$C$16/$C$17*3)/1000)/$C$8-($C$7*($C$11/($C$8+$C$11))+($C$18*EXP(-(ROW()-152)/99*$C$16/$C$17*3)/1000)/$C$11)</f>
        <v/>
      </c>
      <c r="E175">
        <f>$C$7+($C$18*EXP(-(ROW()-152)/99*$C$16/$C$17*3)/1000)/$C$8</f>
        <v/>
      </c>
      <c r="G175">
        <f>$H$18*(1-EXP(-$H$15/$H$17))*EXP(-(ROW()-152)/99*$H$16/$H$17*3)</f>
        <v/>
      </c>
      <c r="H175">
        <f>$H$6+($H$18*(1-EXP(-$H$15/$H$17))*EXP(-(ROW()-152)/99*$H$16/$H$17*3)/1000)/$H$7</f>
        <v/>
      </c>
      <c r="I175">
        <f>$H$6+($H$18*(1-EXP(-$H$15/$H$17))*EXP(-(ROW()-152)/99*$H$16/$H$17*3)/1000)/$H$7-($H$6*($H$10/($H$7+$H$10))+($H$18*(1-EXP(-$H$15/$H$17))*EXP(-(ROW()-152)/99*$H$16/$H$17*3)/1000)/$H$10)</f>
        <v/>
      </c>
      <c r="J175">
        <f>$H$6+($H$18*(1-EXP(-$H$15/$H$17))*EXP(-(ROW()-152)/99*$H$16/$H$17*3)/1000)/$H$7</f>
        <v/>
      </c>
    </row>
    <row r="176">
      <c r="B176">
        <f>$C$18*EXP(-(ROW()-152)/99*$C$16/$C$17*3)</f>
        <v/>
      </c>
      <c r="C176">
        <f>$C$7+($C$18*EXP(-(ROW()-152)/99*$C$16/$C$17*3)/1000)/$C$8</f>
        <v/>
      </c>
      <c r="D176">
        <f>$C$7+($C$18*EXP(-(ROW()-152)/99*$C$16/$C$17*3)/1000)/$C$8-($C$7*($C$11/($C$8+$C$11))+($C$18*EXP(-(ROW()-152)/99*$C$16/$C$17*3)/1000)/$C$11)</f>
        <v/>
      </c>
      <c r="E176">
        <f>$C$7+($C$18*EXP(-(ROW()-152)/99*$C$16/$C$17*3)/1000)/$C$8</f>
        <v/>
      </c>
      <c r="G176">
        <f>$H$18*(1-EXP(-$H$15/$H$17))*EXP(-(ROW()-152)/99*$H$16/$H$17*3)</f>
        <v/>
      </c>
      <c r="H176">
        <f>$H$6+($H$18*(1-EXP(-$H$15/$H$17))*EXP(-(ROW()-152)/99*$H$16/$H$17*3)/1000)/$H$7</f>
        <v/>
      </c>
      <c r="I176">
        <f>$H$6+($H$18*(1-EXP(-$H$15/$H$17))*EXP(-(ROW()-152)/99*$H$16/$H$17*3)/1000)/$H$7-($H$6*($H$10/($H$7+$H$10))+($H$18*(1-EXP(-$H$15/$H$17))*EXP(-(ROW()-152)/99*$H$16/$H$17*3)/1000)/$H$10)</f>
        <v/>
      </c>
      <c r="J176">
        <f>$H$6+($H$18*(1-EXP(-$H$15/$H$17))*EXP(-(ROW()-152)/99*$H$16/$H$17*3)/1000)/$H$7</f>
        <v/>
      </c>
    </row>
    <row r="177">
      <c r="B177">
        <f>$C$18*EXP(-(ROW()-152)/99*$C$16/$C$17*3)</f>
        <v/>
      </c>
      <c r="C177">
        <f>$C$7+($C$18*EXP(-(ROW()-152)/99*$C$16/$C$17*3)/1000)/$C$8</f>
        <v/>
      </c>
      <c r="D177">
        <f>$C$7+($C$18*EXP(-(ROW()-152)/99*$C$16/$C$17*3)/1000)/$C$8-($C$7*($C$11/($C$8+$C$11))+($C$18*EXP(-(ROW()-152)/99*$C$16/$C$17*3)/1000)/$C$11)</f>
        <v/>
      </c>
      <c r="E177">
        <f>$C$7+($C$18*EXP(-(ROW()-152)/99*$C$16/$C$17*3)/1000)/$C$8</f>
        <v/>
      </c>
      <c r="G177">
        <f>$H$18*(1-EXP(-$H$15/$H$17))*EXP(-(ROW()-152)/99*$H$16/$H$17*3)</f>
        <v/>
      </c>
      <c r="H177">
        <f>$H$6+($H$18*(1-EXP(-$H$15/$H$17))*EXP(-(ROW()-152)/99*$H$16/$H$17*3)/1000)/$H$7</f>
        <v/>
      </c>
      <c r="I177">
        <f>$H$6+($H$18*(1-EXP(-$H$15/$H$17))*EXP(-(ROW()-152)/99*$H$16/$H$17*3)/1000)/$H$7-($H$6*($H$10/($H$7+$H$10))+($H$18*(1-EXP(-$H$15/$H$17))*EXP(-(ROW()-152)/99*$H$16/$H$17*3)/1000)/$H$10)</f>
        <v/>
      </c>
      <c r="J177">
        <f>$H$6+($H$18*(1-EXP(-$H$15/$H$17))*EXP(-(ROW()-152)/99*$H$16/$H$17*3)/1000)/$H$7</f>
        <v/>
      </c>
    </row>
    <row r="178">
      <c r="B178">
        <f>$C$18*EXP(-(ROW()-152)/99*$C$16/$C$17*3)</f>
        <v/>
      </c>
      <c r="C178">
        <f>$C$7+($C$18*EXP(-(ROW()-152)/99*$C$16/$C$17*3)/1000)/$C$8</f>
        <v/>
      </c>
      <c r="D178">
        <f>$C$7+($C$18*EXP(-(ROW()-152)/99*$C$16/$C$17*3)/1000)/$C$8-($C$7*($C$11/($C$8+$C$11))+($C$18*EXP(-(ROW()-152)/99*$C$16/$C$17*3)/1000)/$C$11)</f>
        <v/>
      </c>
      <c r="E178">
        <f>$C$7+($C$18*EXP(-(ROW()-152)/99*$C$16/$C$17*3)/1000)/$C$8</f>
        <v/>
      </c>
      <c r="G178">
        <f>$H$18*(1-EXP(-$H$15/$H$17))*EXP(-(ROW()-152)/99*$H$16/$H$17*3)</f>
        <v/>
      </c>
      <c r="H178">
        <f>$H$6+($H$18*(1-EXP(-$H$15/$H$17))*EXP(-(ROW()-152)/99*$H$16/$H$17*3)/1000)/$H$7</f>
        <v/>
      </c>
      <c r="I178">
        <f>$H$6+($H$18*(1-EXP(-$H$15/$H$17))*EXP(-(ROW()-152)/99*$H$16/$H$17*3)/1000)/$H$7-($H$6*($H$10/($H$7+$H$10))+($H$18*(1-EXP(-$H$15/$H$17))*EXP(-(ROW()-152)/99*$H$16/$H$17*3)/1000)/$H$10)</f>
        <v/>
      </c>
      <c r="J178">
        <f>$H$6+($H$18*(1-EXP(-$H$15/$H$17))*EXP(-(ROW()-152)/99*$H$16/$H$17*3)/1000)/$H$7</f>
        <v/>
      </c>
    </row>
    <row r="179">
      <c r="B179">
        <f>$C$18*EXP(-(ROW()-152)/99*$C$16/$C$17*3)</f>
        <v/>
      </c>
      <c r="C179">
        <f>$C$7+($C$18*EXP(-(ROW()-152)/99*$C$16/$C$17*3)/1000)/$C$8</f>
        <v/>
      </c>
      <c r="D179">
        <f>$C$7+($C$18*EXP(-(ROW()-152)/99*$C$16/$C$17*3)/1000)/$C$8-($C$7*($C$11/($C$8+$C$11))+($C$18*EXP(-(ROW()-152)/99*$C$16/$C$17*3)/1000)/$C$11)</f>
        <v/>
      </c>
      <c r="E179">
        <f>$C$7+($C$18*EXP(-(ROW()-152)/99*$C$16/$C$17*3)/1000)/$C$8</f>
        <v/>
      </c>
      <c r="G179">
        <f>$H$18*(1-EXP(-$H$15/$H$17))*EXP(-(ROW()-152)/99*$H$16/$H$17*3)</f>
        <v/>
      </c>
      <c r="H179">
        <f>$H$6+($H$18*(1-EXP(-$H$15/$H$17))*EXP(-(ROW()-152)/99*$H$16/$H$17*3)/1000)/$H$7</f>
        <v/>
      </c>
      <c r="I179">
        <f>$H$6+($H$18*(1-EXP(-$H$15/$H$17))*EXP(-(ROW()-152)/99*$H$16/$H$17*3)/1000)/$H$7-($H$6*($H$10/($H$7+$H$10))+($H$18*(1-EXP(-$H$15/$H$17))*EXP(-(ROW()-152)/99*$H$16/$H$17*3)/1000)/$H$10)</f>
        <v/>
      </c>
      <c r="J179">
        <f>$H$6+($H$18*(1-EXP(-$H$15/$H$17))*EXP(-(ROW()-152)/99*$H$16/$H$17*3)/1000)/$H$7</f>
        <v/>
      </c>
    </row>
    <row r="180">
      <c r="B180">
        <f>$C$18*EXP(-(ROW()-152)/99*$C$16/$C$17*3)</f>
        <v/>
      </c>
      <c r="C180">
        <f>$C$7+($C$18*EXP(-(ROW()-152)/99*$C$16/$C$17*3)/1000)/$C$8</f>
        <v/>
      </c>
      <c r="D180">
        <f>$C$7+($C$18*EXP(-(ROW()-152)/99*$C$16/$C$17*3)/1000)/$C$8-($C$7*($C$11/($C$8+$C$11))+($C$18*EXP(-(ROW()-152)/99*$C$16/$C$17*3)/1000)/$C$11)</f>
        <v/>
      </c>
      <c r="E180">
        <f>$C$7+($C$18*EXP(-(ROW()-152)/99*$C$16/$C$17*3)/1000)/$C$8</f>
        <v/>
      </c>
      <c r="G180">
        <f>$H$18*(1-EXP(-$H$15/$H$17))*EXP(-(ROW()-152)/99*$H$16/$H$17*3)</f>
        <v/>
      </c>
      <c r="H180">
        <f>$H$6+($H$18*(1-EXP(-$H$15/$H$17))*EXP(-(ROW()-152)/99*$H$16/$H$17*3)/1000)/$H$7</f>
        <v/>
      </c>
      <c r="I180">
        <f>$H$6+($H$18*(1-EXP(-$H$15/$H$17))*EXP(-(ROW()-152)/99*$H$16/$H$17*3)/1000)/$H$7-($H$6*($H$10/($H$7+$H$10))+($H$18*(1-EXP(-$H$15/$H$17))*EXP(-(ROW()-152)/99*$H$16/$H$17*3)/1000)/$H$10)</f>
        <v/>
      </c>
      <c r="J180">
        <f>$H$6+($H$18*(1-EXP(-$H$15/$H$17))*EXP(-(ROW()-152)/99*$H$16/$H$17*3)/1000)/$H$7</f>
        <v/>
      </c>
    </row>
    <row r="181">
      <c r="B181">
        <f>$C$18*EXP(-(ROW()-152)/99*$C$16/$C$17*3)</f>
        <v/>
      </c>
      <c r="C181">
        <f>$C$7+($C$18*EXP(-(ROW()-152)/99*$C$16/$C$17*3)/1000)/$C$8</f>
        <v/>
      </c>
      <c r="D181">
        <f>$C$7+($C$18*EXP(-(ROW()-152)/99*$C$16/$C$17*3)/1000)/$C$8-($C$7*($C$11/($C$8+$C$11))+($C$18*EXP(-(ROW()-152)/99*$C$16/$C$17*3)/1000)/$C$11)</f>
        <v/>
      </c>
      <c r="E181">
        <f>$C$7+($C$18*EXP(-(ROW()-152)/99*$C$16/$C$17*3)/1000)/$C$8</f>
        <v/>
      </c>
      <c r="G181">
        <f>$H$18*(1-EXP(-$H$15/$H$17))*EXP(-(ROW()-152)/99*$H$16/$H$17*3)</f>
        <v/>
      </c>
      <c r="H181">
        <f>$H$6+($H$18*(1-EXP(-$H$15/$H$17))*EXP(-(ROW()-152)/99*$H$16/$H$17*3)/1000)/$H$7</f>
        <v/>
      </c>
      <c r="I181">
        <f>$H$6+($H$18*(1-EXP(-$H$15/$H$17))*EXP(-(ROW()-152)/99*$H$16/$H$17*3)/1000)/$H$7-($H$6*($H$10/($H$7+$H$10))+($H$18*(1-EXP(-$H$15/$H$17))*EXP(-(ROW()-152)/99*$H$16/$H$17*3)/1000)/$H$10)</f>
        <v/>
      </c>
      <c r="J181">
        <f>$H$6+($H$18*(1-EXP(-$H$15/$H$17))*EXP(-(ROW()-152)/99*$H$16/$H$17*3)/1000)/$H$7</f>
        <v/>
      </c>
    </row>
    <row r="182">
      <c r="B182">
        <f>$C$18*EXP(-(ROW()-152)/99*$C$16/$C$17*3)</f>
        <v/>
      </c>
      <c r="C182">
        <f>$C$7+($C$18*EXP(-(ROW()-152)/99*$C$16/$C$17*3)/1000)/$C$8</f>
        <v/>
      </c>
      <c r="D182">
        <f>$C$7+($C$18*EXP(-(ROW()-152)/99*$C$16/$C$17*3)/1000)/$C$8-($C$7*($C$11/($C$8+$C$11))+($C$18*EXP(-(ROW()-152)/99*$C$16/$C$17*3)/1000)/$C$11)</f>
        <v/>
      </c>
      <c r="E182">
        <f>$C$7+($C$18*EXP(-(ROW()-152)/99*$C$16/$C$17*3)/1000)/$C$8</f>
        <v/>
      </c>
      <c r="G182">
        <f>$H$18*(1-EXP(-$H$15/$H$17))*EXP(-(ROW()-152)/99*$H$16/$H$17*3)</f>
        <v/>
      </c>
      <c r="H182">
        <f>$H$6+($H$18*(1-EXP(-$H$15/$H$17))*EXP(-(ROW()-152)/99*$H$16/$H$17*3)/1000)/$H$7</f>
        <v/>
      </c>
      <c r="I182">
        <f>$H$6+($H$18*(1-EXP(-$H$15/$H$17))*EXP(-(ROW()-152)/99*$H$16/$H$17*3)/1000)/$H$7-($H$6*($H$10/($H$7+$H$10))+($H$18*(1-EXP(-$H$15/$H$17))*EXP(-(ROW()-152)/99*$H$16/$H$17*3)/1000)/$H$10)</f>
        <v/>
      </c>
      <c r="J182">
        <f>$H$6+($H$18*(1-EXP(-$H$15/$H$17))*EXP(-(ROW()-152)/99*$H$16/$H$17*3)/1000)/$H$7</f>
        <v/>
      </c>
    </row>
    <row r="183">
      <c r="B183">
        <f>$C$18*EXP(-(ROW()-152)/99*$C$16/$C$17*3)</f>
        <v/>
      </c>
      <c r="C183">
        <f>$C$7+($C$18*EXP(-(ROW()-152)/99*$C$16/$C$17*3)/1000)/$C$8</f>
        <v/>
      </c>
      <c r="D183">
        <f>$C$7+($C$18*EXP(-(ROW()-152)/99*$C$16/$C$17*3)/1000)/$C$8-($C$7*($C$11/($C$8+$C$11))+($C$18*EXP(-(ROW()-152)/99*$C$16/$C$17*3)/1000)/$C$11)</f>
        <v/>
      </c>
      <c r="E183">
        <f>$C$7+($C$18*EXP(-(ROW()-152)/99*$C$16/$C$17*3)/1000)/$C$8</f>
        <v/>
      </c>
      <c r="G183">
        <f>$H$18*(1-EXP(-$H$15/$H$17))*EXP(-(ROW()-152)/99*$H$16/$H$17*3)</f>
        <v/>
      </c>
      <c r="H183">
        <f>$H$6+($H$18*(1-EXP(-$H$15/$H$17))*EXP(-(ROW()-152)/99*$H$16/$H$17*3)/1000)/$H$7</f>
        <v/>
      </c>
      <c r="I183">
        <f>$H$6+($H$18*(1-EXP(-$H$15/$H$17))*EXP(-(ROW()-152)/99*$H$16/$H$17*3)/1000)/$H$7-($H$6*($H$10/($H$7+$H$10))+($H$18*(1-EXP(-$H$15/$H$17))*EXP(-(ROW()-152)/99*$H$16/$H$17*3)/1000)/$H$10)</f>
        <v/>
      </c>
      <c r="J183">
        <f>$H$6+($H$18*(1-EXP(-$H$15/$H$17))*EXP(-(ROW()-152)/99*$H$16/$H$17*3)/1000)/$H$7</f>
        <v/>
      </c>
    </row>
    <row r="184">
      <c r="B184">
        <f>$C$18*EXP(-(ROW()-152)/99*$C$16/$C$17*3)</f>
        <v/>
      </c>
      <c r="C184">
        <f>$C$7+($C$18*EXP(-(ROW()-152)/99*$C$16/$C$17*3)/1000)/$C$8</f>
        <v/>
      </c>
      <c r="D184">
        <f>$C$7+($C$18*EXP(-(ROW()-152)/99*$C$16/$C$17*3)/1000)/$C$8-($C$7*($C$11/($C$8+$C$11))+($C$18*EXP(-(ROW()-152)/99*$C$16/$C$17*3)/1000)/$C$11)</f>
        <v/>
      </c>
      <c r="E184">
        <f>$C$7+($C$18*EXP(-(ROW()-152)/99*$C$16/$C$17*3)/1000)/$C$8</f>
        <v/>
      </c>
      <c r="G184">
        <f>$H$18*(1-EXP(-$H$15/$H$17))*EXP(-(ROW()-152)/99*$H$16/$H$17*3)</f>
        <v/>
      </c>
      <c r="H184">
        <f>$H$6+($H$18*(1-EXP(-$H$15/$H$17))*EXP(-(ROW()-152)/99*$H$16/$H$17*3)/1000)/$H$7</f>
        <v/>
      </c>
      <c r="I184">
        <f>$H$6+($H$18*(1-EXP(-$H$15/$H$17))*EXP(-(ROW()-152)/99*$H$16/$H$17*3)/1000)/$H$7-($H$6*($H$10/($H$7+$H$10))+($H$18*(1-EXP(-$H$15/$H$17))*EXP(-(ROW()-152)/99*$H$16/$H$17*3)/1000)/$H$10)</f>
        <v/>
      </c>
      <c r="J184">
        <f>$H$6+($H$18*(1-EXP(-$H$15/$H$17))*EXP(-(ROW()-152)/99*$H$16/$H$17*3)/1000)/$H$7</f>
        <v/>
      </c>
    </row>
    <row r="185">
      <c r="B185">
        <f>$C$18*EXP(-(ROW()-152)/99*$C$16/$C$17*3)</f>
        <v/>
      </c>
      <c r="C185">
        <f>$C$7+($C$18*EXP(-(ROW()-152)/99*$C$16/$C$17*3)/1000)/$C$8</f>
        <v/>
      </c>
      <c r="D185">
        <f>$C$7+($C$18*EXP(-(ROW()-152)/99*$C$16/$C$17*3)/1000)/$C$8-($C$7*($C$11/($C$8+$C$11))+($C$18*EXP(-(ROW()-152)/99*$C$16/$C$17*3)/1000)/$C$11)</f>
        <v/>
      </c>
      <c r="E185">
        <f>$C$7+($C$18*EXP(-(ROW()-152)/99*$C$16/$C$17*3)/1000)/$C$8</f>
        <v/>
      </c>
      <c r="G185">
        <f>$H$18*(1-EXP(-$H$15/$H$17))*EXP(-(ROW()-152)/99*$H$16/$H$17*3)</f>
        <v/>
      </c>
      <c r="H185">
        <f>$H$6+($H$18*(1-EXP(-$H$15/$H$17))*EXP(-(ROW()-152)/99*$H$16/$H$17*3)/1000)/$H$7</f>
        <v/>
      </c>
      <c r="I185">
        <f>$H$6+($H$18*(1-EXP(-$H$15/$H$17))*EXP(-(ROW()-152)/99*$H$16/$H$17*3)/1000)/$H$7-($H$6*($H$10/($H$7+$H$10))+($H$18*(1-EXP(-$H$15/$H$17))*EXP(-(ROW()-152)/99*$H$16/$H$17*3)/1000)/$H$10)</f>
        <v/>
      </c>
      <c r="J185">
        <f>$H$6+($H$18*(1-EXP(-$H$15/$H$17))*EXP(-(ROW()-152)/99*$H$16/$H$17*3)/1000)/$H$7</f>
        <v/>
      </c>
    </row>
    <row r="186">
      <c r="B186">
        <f>$C$18*EXP(-(ROW()-152)/99*$C$16/$C$17*3)</f>
        <v/>
      </c>
      <c r="C186">
        <f>$C$7+($C$18*EXP(-(ROW()-152)/99*$C$16/$C$17*3)/1000)/$C$8</f>
        <v/>
      </c>
      <c r="D186">
        <f>$C$7+($C$18*EXP(-(ROW()-152)/99*$C$16/$C$17*3)/1000)/$C$8-($C$7*($C$11/($C$8+$C$11))+($C$18*EXP(-(ROW()-152)/99*$C$16/$C$17*3)/1000)/$C$11)</f>
        <v/>
      </c>
      <c r="E186">
        <f>$C$7+($C$18*EXP(-(ROW()-152)/99*$C$16/$C$17*3)/1000)/$C$8</f>
        <v/>
      </c>
      <c r="G186">
        <f>$H$18*(1-EXP(-$H$15/$H$17))*EXP(-(ROW()-152)/99*$H$16/$H$17*3)</f>
        <v/>
      </c>
      <c r="H186">
        <f>$H$6+($H$18*(1-EXP(-$H$15/$H$17))*EXP(-(ROW()-152)/99*$H$16/$H$17*3)/1000)/$H$7</f>
        <v/>
      </c>
      <c r="I186">
        <f>$H$6+($H$18*(1-EXP(-$H$15/$H$17))*EXP(-(ROW()-152)/99*$H$16/$H$17*3)/1000)/$H$7-($H$6*($H$10/($H$7+$H$10))+($H$18*(1-EXP(-$H$15/$H$17))*EXP(-(ROW()-152)/99*$H$16/$H$17*3)/1000)/$H$10)</f>
        <v/>
      </c>
      <c r="J186">
        <f>$H$6+($H$18*(1-EXP(-$H$15/$H$17))*EXP(-(ROW()-152)/99*$H$16/$H$17*3)/1000)/$H$7</f>
        <v/>
      </c>
    </row>
    <row r="187">
      <c r="B187">
        <f>$C$18*EXP(-(ROW()-152)/99*$C$16/$C$17*3)</f>
        <v/>
      </c>
      <c r="C187">
        <f>$C$7+($C$18*EXP(-(ROW()-152)/99*$C$16/$C$17*3)/1000)/$C$8</f>
        <v/>
      </c>
      <c r="D187">
        <f>$C$7+($C$18*EXP(-(ROW()-152)/99*$C$16/$C$17*3)/1000)/$C$8-($C$7*($C$11/($C$8+$C$11))+($C$18*EXP(-(ROW()-152)/99*$C$16/$C$17*3)/1000)/$C$11)</f>
        <v/>
      </c>
      <c r="E187">
        <f>$C$7+($C$18*EXP(-(ROW()-152)/99*$C$16/$C$17*3)/1000)/$C$8</f>
        <v/>
      </c>
      <c r="G187">
        <f>$H$18*(1-EXP(-$H$15/$H$17))*EXP(-(ROW()-152)/99*$H$16/$H$17*3)</f>
        <v/>
      </c>
      <c r="H187">
        <f>$H$6+($H$18*(1-EXP(-$H$15/$H$17))*EXP(-(ROW()-152)/99*$H$16/$H$17*3)/1000)/$H$7</f>
        <v/>
      </c>
      <c r="I187">
        <f>$H$6+($H$18*(1-EXP(-$H$15/$H$17))*EXP(-(ROW()-152)/99*$H$16/$H$17*3)/1000)/$H$7-($H$6*($H$10/($H$7+$H$10))+($H$18*(1-EXP(-$H$15/$H$17))*EXP(-(ROW()-152)/99*$H$16/$H$17*3)/1000)/$H$10)</f>
        <v/>
      </c>
      <c r="J187">
        <f>$H$6+($H$18*(1-EXP(-$H$15/$H$17))*EXP(-(ROW()-152)/99*$H$16/$H$17*3)/1000)/$H$7</f>
        <v/>
      </c>
    </row>
    <row r="188">
      <c r="B188">
        <f>$C$18*EXP(-(ROW()-152)/99*$C$16/$C$17*3)</f>
        <v/>
      </c>
      <c r="C188">
        <f>$C$7+($C$18*EXP(-(ROW()-152)/99*$C$16/$C$17*3)/1000)/$C$8</f>
        <v/>
      </c>
      <c r="D188">
        <f>$C$7+($C$18*EXP(-(ROW()-152)/99*$C$16/$C$17*3)/1000)/$C$8-($C$7*($C$11/($C$8+$C$11))+($C$18*EXP(-(ROW()-152)/99*$C$16/$C$17*3)/1000)/$C$11)</f>
        <v/>
      </c>
      <c r="E188">
        <f>$C$7+($C$18*EXP(-(ROW()-152)/99*$C$16/$C$17*3)/1000)/$C$8</f>
        <v/>
      </c>
      <c r="G188">
        <f>$H$18*(1-EXP(-$H$15/$H$17))*EXP(-(ROW()-152)/99*$H$16/$H$17*3)</f>
        <v/>
      </c>
      <c r="H188">
        <f>$H$6+($H$18*(1-EXP(-$H$15/$H$17))*EXP(-(ROW()-152)/99*$H$16/$H$17*3)/1000)/$H$7</f>
        <v/>
      </c>
      <c r="I188">
        <f>$H$6+($H$18*(1-EXP(-$H$15/$H$17))*EXP(-(ROW()-152)/99*$H$16/$H$17*3)/1000)/$H$7-($H$6*($H$10/($H$7+$H$10))+($H$18*(1-EXP(-$H$15/$H$17))*EXP(-(ROW()-152)/99*$H$16/$H$17*3)/1000)/$H$10)</f>
        <v/>
      </c>
      <c r="J188">
        <f>$H$6+($H$18*(1-EXP(-$H$15/$H$17))*EXP(-(ROW()-152)/99*$H$16/$H$17*3)/1000)/$H$7</f>
        <v/>
      </c>
    </row>
    <row r="189">
      <c r="B189">
        <f>$C$18*EXP(-(ROW()-152)/99*$C$16/$C$17*3)</f>
        <v/>
      </c>
      <c r="C189">
        <f>$C$7+($C$18*EXP(-(ROW()-152)/99*$C$16/$C$17*3)/1000)/$C$8</f>
        <v/>
      </c>
      <c r="D189">
        <f>$C$7+($C$18*EXP(-(ROW()-152)/99*$C$16/$C$17*3)/1000)/$C$8-($C$7*($C$11/($C$8+$C$11))+($C$18*EXP(-(ROW()-152)/99*$C$16/$C$17*3)/1000)/$C$11)</f>
        <v/>
      </c>
      <c r="E189">
        <f>$C$7+($C$18*EXP(-(ROW()-152)/99*$C$16/$C$17*3)/1000)/$C$8</f>
        <v/>
      </c>
      <c r="G189">
        <f>$H$18*(1-EXP(-$H$15/$H$17))*EXP(-(ROW()-152)/99*$H$16/$H$17*3)</f>
        <v/>
      </c>
      <c r="H189">
        <f>$H$6+($H$18*(1-EXP(-$H$15/$H$17))*EXP(-(ROW()-152)/99*$H$16/$H$17*3)/1000)/$H$7</f>
        <v/>
      </c>
      <c r="I189">
        <f>$H$6+($H$18*(1-EXP(-$H$15/$H$17))*EXP(-(ROW()-152)/99*$H$16/$H$17*3)/1000)/$H$7-($H$6*($H$10/($H$7+$H$10))+($H$18*(1-EXP(-$H$15/$H$17))*EXP(-(ROW()-152)/99*$H$16/$H$17*3)/1000)/$H$10)</f>
        <v/>
      </c>
      <c r="J189">
        <f>$H$6+($H$18*(1-EXP(-$H$15/$H$17))*EXP(-(ROW()-152)/99*$H$16/$H$17*3)/1000)/$H$7</f>
        <v/>
      </c>
    </row>
    <row r="190">
      <c r="B190">
        <f>$C$18*EXP(-(ROW()-152)/99*$C$16/$C$17*3)</f>
        <v/>
      </c>
      <c r="C190">
        <f>$C$7+($C$18*EXP(-(ROW()-152)/99*$C$16/$C$17*3)/1000)/$C$8</f>
        <v/>
      </c>
      <c r="D190">
        <f>$C$7+($C$18*EXP(-(ROW()-152)/99*$C$16/$C$17*3)/1000)/$C$8-($C$7*($C$11/($C$8+$C$11))+($C$18*EXP(-(ROW()-152)/99*$C$16/$C$17*3)/1000)/$C$11)</f>
        <v/>
      </c>
      <c r="E190">
        <f>$C$7+($C$18*EXP(-(ROW()-152)/99*$C$16/$C$17*3)/1000)/$C$8</f>
        <v/>
      </c>
      <c r="G190">
        <f>$H$18*(1-EXP(-$H$15/$H$17))*EXP(-(ROW()-152)/99*$H$16/$H$17*3)</f>
        <v/>
      </c>
      <c r="H190">
        <f>$H$6+($H$18*(1-EXP(-$H$15/$H$17))*EXP(-(ROW()-152)/99*$H$16/$H$17*3)/1000)/$H$7</f>
        <v/>
      </c>
      <c r="I190">
        <f>$H$6+($H$18*(1-EXP(-$H$15/$H$17))*EXP(-(ROW()-152)/99*$H$16/$H$17*3)/1000)/$H$7-($H$6*($H$10/($H$7+$H$10))+($H$18*(1-EXP(-$H$15/$H$17))*EXP(-(ROW()-152)/99*$H$16/$H$17*3)/1000)/$H$10)</f>
        <v/>
      </c>
      <c r="J190">
        <f>$H$6+($H$18*(1-EXP(-$H$15/$H$17))*EXP(-(ROW()-152)/99*$H$16/$H$17*3)/1000)/$H$7</f>
        <v/>
      </c>
    </row>
    <row r="191">
      <c r="B191">
        <f>$C$18*EXP(-(ROW()-152)/99*$C$16/$C$17*3)</f>
        <v/>
      </c>
      <c r="C191">
        <f>$C$7+($C$18*EXP(-(ROW()-152)/99*$C$16/$C$17*3)/1000)/$C$8</f>
        <v/>
      </c>
      <c r="D191">
        <f>$C$7+($C$18*EXP(-(ROW()-152)/99*$C$16/$C$17*3)/1000)/$C$8-($C$7*($C$11/($C$8+$C$11))+($C$18*EXP(-(ROW()-152)/99*$C$16/$C$17*3)/1000)/$C$11)</f>
        <v/>
      </c>
      <c r="E191">
        <f>$C$7+($C$18*EXP(-(ROW()-152)/99*$C$16/$C$17*3)/1000)/$C$8</f>
        <v/>
      </c>
      <c r="G191">
        <f>$H$18*(1-EXP(-$H$15/$H$17))*EXP(-(ROW()-152)/99*$H$16/$H$17*3)</f>
        <v/>
      </c>
      <c r="H191">
        <f>$H$6+($H$18*(1-EXP(-$H$15/$H$17))*EXP(-(ROW()-152)/99*$H$16/$H$17*3)/1000)/$H$7</f>
        <v/>
      </c>
      <c r="I191">
        <f>$H$6+($H$18*(1-EXP(-$H$15/$H$17))*EXP(-(ROW()-152)/99*$H$16/$H$17*3)/1000)/$H$7-($H$6*($H$10/($H$7+$H$10))+($H$18*(1-EXP(-$H$15/$H$17))*EXP(-(ROW()-152)/99*$H$16/$H$17*3)/1000)/$H$10)</f>
        <v/>
      </c>
      <c r="J191">
        <f>$H$6+($H$18*(1-EXP(-$H$15/$H$17))*EXP(-(ROW()-152)/99*$H$16/$H$17*3)/1000)/$H$7</f>
        <v/>
      </c>
    </row>
    <row r="192">
      <c r="B192">
        <f>$C$18*EXP(-(ROW()-152)/99*$C$16/$C$17*3)</f>
        <v/>
      </c>
      <c r="C192">
        <f>$C$7+($C$18*EXP(-(ROW()-152)/99*$C$16/$C$17*3)/1000)/$C$8</f>
        <v/>
      </c>
      <c r="D192">
        <f>$C$7+($C$18*EXP(-(ROW()-152)/99*$C$16/$C$17*3)/1000)/$C$8-($C$7*($C$11/($C$8+$C$11))+($C$18*EXP(-(ROW()-152)/99*$C$16/$C$17*3)/1000)/$C$11)</f>
        <v/>
      </c>
      <c r="E192">
        <f>$C$7+($C$18*EXP(-(ROW()-152)/99*$C$16/$C$17*3)/1000)/$C$8</f>
        <v/>
      </c>
      <c r="G192">
        <f>$H$18*(1-EXP(-$H$15/$H$17))*EXP(-(ROW()-152)/99*$H$16/$H$17*3)</f>
        <v/>
      </c>
      <c r="H192">
        <f>$H$6+($H$18*(1-EXP(-$H$15/$H$17))*EXP(-(ROW()-152)/99*$H$16/$H$17*3)/1000)/$H$7</f>
        <v/>
      </c>
      <c r="I192">
        <f>$H$6+($H$18*(1-EXP(-$H$15/$H$17))*EXP(-(ROW()-152)/99*$H$16/$H$17*3)/1000)/$H$7-($H$6*($H$10/($H$7+$H$10))+($H$18*(1-EXP(-$H$15/$H$17))*EXP(-(ROW()-152)/99*$H$16/$H$17*3)/1000)/$H$10)</f>
        <v/>
      </c>
      <c r="J192">
        <f>$H$6+($H$18*(1-EXP(-$H$15/$H$17))*EXP(-(ROW()-152)/99*$H$16/$H$17*3)/1000)/$H$7</f>
        <v/>
      </c>
    </row>
    <row r="193">
      <c r="B193">
        <f>$C$18*EXP(-(ROW()-152)/99*$C$16/$C$17*3)</f>
        <v/>
      </c>
      <c r="C193">
        <f>$C$7+($C$18*EXP(-(ROW()-152)/99*$C$16/$C$17*3)/1000)/$C$8</f>
        <v/>
      </c>
      <c r="D193">
        <f>$C$7+($C$18*EXP(-(ROW()-152)/99*$C$16/$C$17*3)/1000)/$C$8-($C$7*($C$11/($C$8+$C$11))+($C$18*EXP(-(ROW()-152)/99*$C$16/$C$17*3)/1000)/$C$11)</f>
        <v/>
      </c>
      <c r="E193">
        <f>$C$7+($C$18*EXP(-(ROW()-152)/99*$C$16/$C$17*3)/1000)/$C$8</f>
        <v/>
      </c>
      <c r="G193">
        <f>$H$18*(1-EXP(-$H$15/$H$17))*EXP(-(ROW()-152)/99*$H$16/$H$17*3)</f>
        <v/>
      </c>
      <c r="H193">
        <f>$H$6+($H$18*(1-EXP(-$H$15/$H$17))*EXP(-(ROW()-152)/99*$H$16/$H$17*3)/1000)/$H$7</f>
        <v/>
      </c>
      <c r="I193">
        <f>$H$6+($H$18*(1-EXP(-$H$15/$H$17))*EXP(-(ROW()-152)/99*$H$16/$H$17*3)/1000)/$H$7-($H$6*($H$10/($H$7+$H$10))+($H$18*(1-EXP(-$H$15/$H$17))*EXP(-(ROW()-152)/99*$H$16/$H$17*3)/1000)/$H$10)</f>
        <v/>
      </c>
      <c r="J193">
        <f>$H$6+($H$18*(1-EXP(-$H$15/$H$17))*EXP(-(ROW()-152)/99*$H$16/$H$17*3)/1000)/$H$7</f>
        <v/>
      </c>
    </row>
    <row r="194">
      <c r="B194">
        <f>$C$18*EXP(-(ROW()-152)/99*$C$16/$C$17*3)</f>
        <v/>
      </c>
      <c r="C194">
        <f>$C$7+($C$18*EXP(-(ROW()-152)/99*$C$16/$C$17*3)/1000)/$C$8</f>
        <v/>
      </c>
      <c r="D194">
        <f>$C$7+($C$18*EXP(-(ROW()-152)/99*$C$16/$C$17*3)/1000)/$C$8-($C$7*($C$11/($C$8+$C$11))+($C$18*EXP(-(ROW()-152)/99*$C$16/$C$17*3)/1000)/$C$11)</f>
        <v/>
      </c>
      <c r="E194">
        <f>$C$7+($C$18*EXP(-(ROW()-152)/99*$C$16/$C$17*3)/1000)/$C$8</f>
        <v/>
      </c>
      <c r="G194">
        <f>$H$18*(1-EXP(-$H$15/$H$17))*EXP(-(ROW()-152)/99*$H$16/$H$17*3)</f>
        <v/>
      </c>
      <c r="H194">
        <f>$H$6+($H$18*(1-EXP(-$H$15/$H$17))*EXP(-(ROW()-152)/99*$H$16/$H$17*3)/1000)/$H$7</f>
        <v/>
      </c>
      <c r="I194">
        <f>$H$6+($H$18*(1-EXP(-$H$15/$H$17))*EXP(-(ROW()-152)/99*$H$16/$H$17*3)/1000)/$H$7-($H$6*($H$10/($H$7+$H$10))+($H$18*(1-EXP(-$H$15/$H$17))*EXP(-(ROW()-152)/99*$H$16/$H$17*3)/1000)/$H$10)</f>
        <v/>
      </c>
      <c r="J194">
        <f>$H$6+($H$18*(1-EXP(-$H$15/$H$17))*EXP(-(ROW()-152)/99*$H$16/$H$17*3)/1000)/$H$7</f>
        <v/>
      </c>
    </row>
    <row r="195">
      <c r="B195">
        <f>$C$18*EXP(-(ROW()-152)/99*$C$16/$C$17*3)</f>
        <v/>
      </c>
      <c r="C195">
        <f>$C$7+($C$18*EXP(-(ROW()-152)/99*$C$16/$C$17*3)/1000)/$C$8</f>
        <v/>
      </c>
      <c r="D195">
        <f>$C$7+($C$18*EXP(-(ROW()-152)/99*$C$16/$C$17*3)/1000)/$C$8-($C$7*($C$11/($C$8+$C$11))+($C$18*EXP(-(ROW()-152)/99*$C$16/$C$17*3)/1000)/$C$11)</f>
        <v/>
      </c>
      <c r="E195">
        <f>$C$7+($C$18*EXP(-(ROW()-152)/99*$C$16/$C$17*3)/1000)/$C$8</f>
        <v/>
      </c>
      <c r="G195">
        <f>$H$18*(1-EXP(-$H$15/$H$17))*EXP(-(ROW()-152)/99*$H$16/$H$17*3)</f>
        <v/>
      </c>
      <c r="H195">
        <f>$H$6+($H$18*(1-EXP(-$H$15/$H$17))*EXP(-(ROW()-152)/99*$H$16/$H$17*3)/1000)/$H$7</f>
        <v/>
      </c>
      <c r="I195">
        <f>$H$6+($H$18*(1-EXP(-$H$15/$H$17))*EXP(-(ROW()-152)/99*$H$16/$H$17*3)/1000)/$H$7-($H$6*($H$10/($H$7+$H$10))+($H$18*(1-EXP(-$H$15/$H$17))*EXP(-(ROW()-152)/99*$H$16/$H$17*3)/1000)/$H$10)</f>
        <v/>
      </c>
      <c r="J195">
        <f>$H$6+($H$18*(1-EXP(-$H$15/$H$17))*EXP(-(ROW()-152)/99*$H$16/$H$17*3)/1000)/$H$7</f>
        <v/>
      </c>
    </row>
    <row r="196">
      <c r="B196">
        <f>$C$18*EXP(-(ROW()-152)/99*$C$16/$C$17*3)</f>
        <v/>
      </c>
      <c r="C196">
        <f>$C$7+($C$18*EXP(-(ROW()-152)/99*$C$16/$C$17*3)/1000)/$C$8</f>
        <v/>
      </c>
      <c r="D196">
        <f>$C$7+($C$18*EXP(-(ROW()-152)/99*$C$16/$C$17*3)/1000)/$C$8-($C$7*($C$11/($C$8+$C$11))+($C$18*EXP(-(ROW()-152)/99*$C$16/$C$17*3)/1000)/$C$11)</f>
        <v/>
      </c>
      <c r="E196">
        <f>$C$7+($C$18*EXP(-(ROW()-152)/99*$C$16/$C$17*3)/1000)/$C$8</f>
        <v/>
      </c>
      <c r="G196">
        <f>$H$18*(1-EXP(-$H$15/$H$17))*EXP(-(ROW()-152)/99*$H$16/$H$17*3)</f>
        <v/>
      </c>
      <c r="H196">
        <f>$H$6+($H$18*(1-EXP(-$H$15/$H$17))*EXP(-(ROW()-152)/99*$H$16/$H$17*3)/1000)/$H$7</f>
        <v/>
      </c>
      <c r="I196">
        <f>$H$6+($H$18*(1-EXP(-$H$15/$H$17))*EXP(-(ROW()-152)/99*$H$16/$H$17*3)/1000)/$H$7-($H$6*($H$10/($H$7+$H$10))+($H$18*(1-EXP(-$H$15/$H$17))*EXP(-(ROW()-152)/99*$H$16/$H$17*3)/1000)/$H$10)</f>
        <v/>
      </c>
      <c r="J196">
        <f>$H$6+($H$18*(1-EXP(-$H$15/$H$17))*EXP(-(ROW()-152)/99*$H$16/$H$17*3)/1000)/$H$7</f>
        <v/>
      </c>
    </row>
    <row r="197">
      <c r="B197">
        <f>$C$18*EXP(-(ROW()-152)/99*$C$16/$C$17*3)</f>
        <v/>
      </c>
      <c r="C197">
        <f>$C$7+($C$18*EXP(-(ROW()-152)/99*$C$16/$C$17*3)/1000)/$C$8</f>
        <v/>
      </c>
      <c r="D197">
        <f>$C$7+($C$18*EXP(-(ROW()-152)/99*$C$16/$C$17*3)/1000)/$C$8-($C$7*($C$11/($C$8+$C$11))+($C$18*EXP(-(ROW()-152)/99*$C$16/$C$17*3)/1000)/$C$11)</f>
        <v/>
      </c>
      <c r="E197">
        <f>$C$7+($C$18*EXP(-(ROW()-152)/99*$C$16/$C$17*3)/1000)/$C$8</f>
        <v/>
      </c>
      <c r="G197">
        <f>$H$18*(1-EXP(-$H$15/$H$17))*EXP(-(ROW()-152)/99*$H$16/$H$17*3)</f>
        <v/>
      </c>
      <c r="H197">
        <f>$H$6+($H$18*(1-EXP(-$H$15/$H$17))*EXP(-(ROW()-152)/99*$H$16/$H$17*3)/1000)/$H$7</f>
        <v/>
      </c>
      <c r="I197">
        <f>$H$6+($H$18*(1-EXP(-$H$15/$H$17))*EXP(-(ROW()-152)/99*$H$16/$H$17*3)/1000)/$H$7-($H$6*($H$10/($H$7+$H$10))+($H$18*(1-EXP(-$H$15/$H$17))*EXP(-(ROW()-152)/99*$H$16/$H$17*3)/1000)/$H$10)</f>
        <v/>
      </c>
      <c r="J197">
        <f>$H$6+($H$18*(1-EXP(-$H$15/$H$17))*EXP(-(ROW()-152)/99*$H$16/$H$17*3)/1000)/$H$7</f>
        <v/>
      </c>
    </row>
    <row r="198">
      <c r="B198">
        <f>$C$18*EXP(-(ROW()-152)/99*$C$16/$C$17*3)</f>
        <v/>
      </c>
      <c r="C198">
        <f>$C$7+($C$18*EXP(-(ROW()-152)/99*$C$16/$C$17*3)/1000)/$C$8</f>
        <v/>
      </c>
      <c r="D198">
        <f>$C$7+($C$18*EXP(-(ROW()-152)/99*$C$16/$C$17*3)/1000)/$C$8-($C$7*($C$11/($C$8+$C$11))+($C$18*EXP(-(ROW()-152)/99*$C$16/$C$17*3)/1000)/$C$11)</f>
        <v/>
      </c>
      <c r="E198">
        <f>$C$7+($C$18*EXP(-(ROW()-152)/99*$C$16/$C$17*3)/1000)/$C$8</f>
        <v/>
      </c>
      <c r="G198">
        <f>$H$18*(1-EXP(-$H$15/$H$17))*EXP(-(ROW()-152)/99*$H$16/$H$17*3)</f>
        <v/>
      </c>
      <c r="H198">
        <f>$H$6+($H$18*(1-EXP(-$H$15/$H$17))*EXP(-(ROW()-152)/99*$H$16/$H$17*3)/1000)/$H$7</f>
        <v/>
      </c>
      <c r="I198">
        <f>$H$6+($H$18*(1-EXP(-$H$15/$H$17))*EXP(-(ROW()-152)/99*$H$16/$H$17*3)/1000)/$H$7-($H$6*($H$10/($H$7+$H$10))+($H$18*(1-EXP(-$H$15/$H$17))*EXP(-(ROW()-152)/99*$H$16/$H$17*3)/1000)/$H$10)</f>
        <v/>
      </c>
      <c r="J198">
        <f>$H$6+($H$18*(1-EXP(-$H$15/$H$17))*EXP(-(ROW()-152)/99*$H$16/$H$17*3)/1000)/$H$7</f>
        <v/>
      </c>
    </row>
    <row r="199">
      <c r="B199">
        <f>$C$18*EXP(-(ROW()-152)/99*$C$16/$C$17*3)</f>
        <v/>
      </c>
      <c r="C199">
        <f>$C$7+($C$18*EXP(-(ROW()-152)/99*$C$16/$C$17*3)/1000)/$C$8</f>
        <v/>
      </c>
      <c r="D199">
        <f>$C$7+($C$18*EXP(-(ROW()-152)/99*$C$16/$C$17*3)/1000)/$C$8-($C$7*($C$11/($C$8+$C$11))+($C$18*EXP(-(ROW()-152)/99*$C$16/$C$17*3)/1000)/$C$11)</f>
        <v/>
      </c>
      <c r="E199">
        <f>$C$7+($C$18*EXP(-(ROW()-152)/99*$C$16/$C$17*3)/1000)/$C$8</f>
        <v/>
      </c>
      <c r="G199">
        <f>$H$18*(1-EXP(-$H$15/$H$17))*EXP(-(ROW()-152)/99*$H$16/$H$17*3)</f>
        <v/>
      </c>
      <c r="H199">
        <f>$H$6+($H$18*(1-EXP(-$H$15/$H$17))*EXP(-(ROW()-152)/99*$H$16/$H$17*3)/1000)/$H$7</f>
        <v/>
      </c>
      <c r="I199">
        <f>$H$6+($H$18*(1-EXP(-$H$15/$H$17))*EXP(-(ROW()-152)/99*$H$16/$H$17*3)/1000)/$H$7-($H$6*($H$10/($H$7+$H$10))+($H$18*(1-EXP(-$H$15/$H$17))*EXP(-(ROW()-152)/99*$H$16/$H$17*3)/1000)/$H$10)</f>
        <v/>
      </c>
      <c r="J199">
        <f>$H$6+($H$18*(1-EXP(-$H$15/$H$17))*EXP(-(ROW()-152)/99*$H$16/$H$17*3)/1000)/$H$7</f>
        <v/>
      </c>
    </row>
    <row r="200">
      <c r="B200">
        <f>$C$18*EXP(-(ROW()-152)/99*$C$16/$C$17*3)</f>
        <v/>
      </c>
      <c r="C200">
        <f>$C$7+($C$18*EXP(-(ROW()-152)/99*$C$16/$C$17*3)/1000)/$C$8</f>
        <v/>
      </c>
      <c r="D200">
        <f>$C$7+($C$18*EXP(-(ROW()-152)/99*$C$16/$C$17*3)/1000)/$C$8-($C$7*($C$11/($C$8+$C$11))+($C$18*EXP(-(ROW()-152)/99*$C$16/$C$17*3)/1000)/$C$11)</f>
        <v/>
      </c>
      <c r="E200">
        <f>$C$7+($C$18*EXP(-(ROW()-152)/99*$C$16/$C$17*3)/1000)/$C$8</f>
        <v/>
      </c>
      <c r="G200">
        <f>$H$18*(1-EXP(-$H$15/$H$17))*EXP(-(ROW()-152)/99*$H$16/$H$17*3)</f>
        <v/>
      </c>
      <c r="H200">
        <f>$H$6+($H$18*(1-EXP(-$H$15/$H$17))*EXP(-(ROW()-152)/99*$H$16/$H$17*3)/1000)/$H$7</f>
        <v/>
      </c>
      <c r="I200">
        <f>$H$6+($H$18*(1-EXP(-$H$15/$H$17))*EXP(-(ROW()-152)/99*$H$16/$H$17*3)/1000)/$H$7-($H$6*($H$10/($H$7+$H$10))+($H$18*(1-EXP(-$H$15/$H$17))*EXP(-(ROW()-152)/99*$H$16/$H$17*3)/1000)/$H$10)</f>
        <v/>
      </c>
      <c r="J200">
        <f>$H$6+($H$18*(1-EXP(-$H$15/$H$17))*EXP(-(ROW()-152)/99*$H$16/$H$17*3)/1000)/$H$7</f>
        <v/>
      </c>
    </row>
    <row r="201">
      <c r="B201">
        <f>$C$18*EXP(-(ROW()-152)/99*$C$16/$C$17*3)</f>
        <v/>
      </c>
      <c r="C201">
        <f>$C$7+($C$18*EXP(-(ROW()-152)/99*$C$16/$C$17*3)/1000)/$C$8</f>
        <v/>
      </c>
      <c r="D201">
        <f>$C$7+($C$18*EXP(-(ROW()-152)/99*$C$16/$C$17*3)/1000)/$C$8-($C$7*($C$11/($C$8+$C$11))+($C$18*EXP(-(ROW()-152)/99*$C$16/$C$17*3)/1000)/$C$11)</f>
        <v/>
      </c>
      <c r="E201">
        <f>$C$7+($C$18*EXP(-(ROW()-152)/99*$C$16/$C$17*3)/1000)/$C$8</f>
        <v/>
      </c>
      <c r="G201">
        <f>$H$18*(1-EXP(-$H$15/$H$17))*EXP(-(ROW()-152)/99*$H$16/$H$17*3)</f>
        <v/>
      </c>
      <c r="H201">
        <f>$H$6+($H$18*(1-EXP(-$H$15/$H$17))*EXP(-(ROW()-152)/99*$H$16/$H$17*3)/1000)/$H$7</f>
        <v/>
      </c>
      <c r="I201">
        <f>$H$6+($H$18*(1-EXP(-$H$15/$H$17))*EXP(-(ROW()-152)/99*$H$16/$H$17*3)/1000)/$H$7-($H$6*($H$10/($H$7+$H$10))+($H$18*(1-EXP(-$H$15/$H$17))*EXP(-(ROW()-152)/99*$H$16/$H$17*3)/1000)/$H$10)</f>
        <v/>
      </c>
      <c r="J201">
        <f>$H$6+($H$18*(1-EXP(-$H$15/$H$17))*EXP(-(ROW()-152)/99*$H$16/$H$17*3)/1000)/$H$7</f>
        <v/>
      </c>
    </row>
    <row r="202">
      <c r="B202">
        <f>$C$18*EXP(-(ROW()-152)/99*$C$16/$C$17*3)</f>
        <v/>
      </c>
      <c r="C202">
        <f>$C$7+($C$18*EXP(-(ROW()-152)/99*$C$16/$C$17*3)/1000)/$C$8</f>
        <v/>
      </c>
      <c r="D202">
        <f>$C$7+($C$18*EXP(-(ROW()-152)/99*$C$16/$C$17*3)/1000)/$C$8-($C$7*($C$11/($C$8+$C$11))+($C$18*EXP(-(ROW()-152)/99*$C$16/$C$17*3)/1000)/$C$11)</f>
        <v/>
      </c>
      <c r="E202">
        <f>$C$7+($C$18*EXP(-(ROW()-152)/99*$C$16/$C$17*3)/1000)/$C$8</f>
        <v/>
      </c>
      <c r="G202">
        <f>$H$18*(1-EXP(-$H$15/$H$17))*EXP(-(ROW()-152)/99*$H$16/$H$17*3)</f>
        <v/>
      </c>
      <c r="H202">
        <f>$H$6+($H$18*(1-EXP(-$H$15/$H$17))*EXP(-(ROW()-152)/99*$H$16/$H$17*3)/1000)/$H$7</f>
        <v/>
      </c>
      <c r="I202">
        <f>$H$6+($H$18*(1-EXP(-$H$15/$H$17))*EXP(-(ROW()-152)/99*$H$16/$H$17*3)/1000)/$H$7-($H$6*($H$10/($H$7+$H$10))+($H$18*(1-EXP(-$H$15/$H$17))*EXP(-(ROW()-152)/99*$H$16/$H$17*3)/1000)/$H$10)</f>
        <v/>
      </c>
      <c r="J202">
        <f>$H$6+($H$18*(1-EXP(-$H$15/$H$17))*EXP(-(ROW()-152)/99*$H$16/$H$17*3)/1000)/$H$7</f>
        <v/>
      </c>
    </row>
    <row r="203">
      <c r="B203">
        <f>$C$18*EXP(-(ROW()-152)/99*$C$16/$C$17*3)</f>
        <v/>
      </c>
      <c r="C203">
        <f>$C$7+($C$18*EXP(-(ROW()-152)/99*$C$16/$C$17*3)/1000)/$C$8</f>
        <v/>
      </c>
      <c r="D203">
        <f>$C$7+($C$18*EXP(-(ROW()-152)/99*$C$16/$C$17*3)/1000)/$C$8-($C$7*($C$11/($C$8+$C$11))+($C$18*EXP(-(ROW()-152)/99*$C$16/$C$17*3)/1000)/$C$11)</f>
        <v/>
      </c>
      <c r="E203">
        <f>$C$7+($C$18*EXP(-(ROW()-152)/99*$C$16/$C$17*3)/1000)/$C$8</f>
        <v/>
      </c>
      <c r="G203">
        <f>$H$18*(1-EXP(-$H$15/$H$17))*EXP(-(ROW()-152)/99*$H$16/$H$17*3)</f>
        <v/>
      </c>
      <c r="H203">
        <f>$H$6+($H$18*(1-EXP(-$H$15/$H$17))*EXP(-(ROW()-152)/99*$H$16/$H$17*3)/1000)/$H$7</f>
        <v/>
      </c>
      <c r="I203">
        <f>$H$6+($H$18*(1-EXP(-$H$15/$H$17))*EXP(-(ROW()-152)/99*$H$16/$H$17*3)/1000)/$H$7-($H$6*($H$10/($H$7+$H$10))+($H$18*(1-EXP(-$H$15/$H$17))*EXP(-(ROW()-152)/99*$H$16/$H$17*3)/1000)/$H$10)</f>
        <v/>
      </c>
      <c r="J203">
        <f>$H$6+($H$18*(1-EXP(-$H$15/$H$17))*EXP(-(ROW()-152)/99*$H$16/$H$17*3)/1000)/$H$7</f>
        <v/>
      </c>
    </row>
    <row r="204">
      <c r="B204">
        <f>$C$18*EXP(-(ROW()-152)/99*$C$16/$C$17*3)</f>
        <v/>
      </c>
      <c r="C204">
        <f>$C$7+($C$18*EXP(-(ROW()-152)/99*$C$16/$C$17*3)/1000)/$C$8</f>
        <v/>
      </c>
      <c r="D204">
        <f>$C$7+($C$18*EXP(-(ROW()-152)/99*$C$16/$C$17*3)/1000)/$C$8-($C$7*($C$11/($C$8+$C$11))+($C$18*EXP(-(ROW()-152)/99*$C$16/$C$17*3)/1000)/$C$11)</f>
        <v/>
      </c>
      <c r="E204">
        <f>$C$7+($C$18*EXP(-(ROW()-152)/99*$C$16/$C$17*3)/1000)/$C$8</f>
        <v/>
      </c>
      <c r="G204">
        <f>$H$18*(1-EXP(-$H$15/$H$17))*EXP(-(ROW()-152)/99*$H$16/$H$17*3)</f>
        <v/>
      </c>
      <c r="H204">
        <f>$H$6+($H$18*(1-EXP(-$H$15/$H$17))*EXP(-(ROW()-152)/99*$H$16/$H$17*3)/1000)/$H$7</f>
        <v/>
      </c>
      <c r="I204">
        <f>$H$6+($H$18*(1-EXP(-$H$15/$H$17))*EXP(-(ROW()-152)/99*$H$16/$H$17*3)/1000)/$H$7-($H$6*($H$10/($H$7+$H$10))+($H$18*(1-EXP(-$H$15/$H$17))*EXP(-(ROW()-152)/99*$H$16/$H$17*3)/1000)/$H$10)</f>
        <v/>
      </c>
      <c r="J204">
        <f>$H$6+($H$18*(1-EXP(-$H$15/$H$17))*EXP(-(ROW()-152)/99*$H$16/$H$17*3)/1000)/$H$7</f>
        <v/>
      </c>
    </row>
    <row r="205">
      <c r="B205">
        <f>$C$18*EXP(-(ROW()-152)/99*$C$16/$C$17*3)</f>
        <v/>
      </c>
      <c r="C205">
        <f>$C$7+($C$18*EXP(-(ROW()-152)/99*$C$16/$C$17*3)/1000)/$C$8</f>
        <v/>
      </c>
      <c r="D205">
        <f>$C$7+($C$18*EXP(-(ROW()-152)/99*$C$16/$C$17*3)/1000)/$C$8-($C$7*($C$11/($C$8+$C$11))+($C$18*EXP(-(ROW()-152)/99*$C$16/$C$17*3)/1000)/$C$11)</f>
        <v/>
      </c>
      <c r="E205">
        <f>$C$7+($C$18*EXP(-(ROW()-152)/99*$C$16/$C$17*3)/1000)/$C$8</f>
        <v/>
      </c>
      <c r="G205">
        <f>$H$18*(1-EXP(-$H$15/$H$17))*EXP(-(ROW()-152)/99*$H$16/$H$17*3)</f>
        <v/>
      </c>
      <c r="H205">
        <f>$H$6+($H$18*(1-EXP(-$H$15/$H$17))*EXP(-(ROW()-152)/99*$H$16/$H$17*3)/1000)/$H$7</f>
        <v/>
      </c>
      <c r="I205">
        <f>$H$6+($H$18*(1-EXP(-$H$15/$H$17))*EXP(-(ROW()-152)/99*$H$16/$H$17*3)/1000)/$H$7-($H$6*($H$10/($H$7+$H$10))+($H$18*(1-EXP(-$H$15/$H$17))*EXP(-(ROW()-152)/99*$H$16/$H$17*3)/1000)/$H$10)</f>
        <v/>
      </c>
      <c r="J205">
        <f>$H$6+($H$18*(1-EXP(-$H$15/$H$17))*EXP(-(ROW()-152)/99*$H$16/$H$17*3)/1000)/$H$7</f>
        <v/>
      </c>
    </row>
    <row r="206">
      <c r="B206">
        <f>$C$18*EXP(-(ROW()-152)/99*$C$16/$C$17*3)</f>
        <v/>
      </c>
      <c r="C206">
        <f>$C$7+($C$18*EXP(-(ROW()-152)/99*$C$16/$C$17*3)/1000)/$C$8</f>
        <v/>
      </c>
      <c r="D206">
        <f>$C$7+($C$18*EXP(-(ROW()-152)/99*$C$16/$C$17*3)/1000)/$C$8-($C$7*($C$11/($C$8+$C$11))+($C$18*EXP(-(ROW()-152)/99*$C$16/$C$17*3)/1000)/$C$11)</f>
        <v/>
      </c>
      <c r="E206">
        <f>$C$7+($C$18*EXP(-(ROW()-152)/99*$C$16/$C$17*3)/1000)/$C$8</f>
        <v/>
      </c>
      <c r="G206">
        <f>$H$18*(1-EXP(-$H$15/$H$17))*EXP(-(ROW()-152)/99*$H$16/$H$17*3)</f>
        <v/>
      </c>
      <c r="H206">
        <f>$H$6+($H$18*(1-EXP(-$H$15/$H$17))*EXP(-(ROW()-152)/99*$H$16/$H$17*3)/1000)/$H$7</f>
        <v/>
      </c>
      <c r="I206">
        <f>$H$6+($H$18*(1-EXP(-$H$15/$H$17))*EXP(-(ROW()-152)/99*$H$16/$H$17*3)/1000)/$H$7-($H$6*($H$10/($H$7+$H$10))+($H$18*(1-EXP(-$H$15/$H$17))*EXP(-(ROW()-152)/99*$H$16/$H$17*3)/1000)/$H$10)</f>
        <v/>
      </c>
      <c r="J206">
        <f>$H$6+($H$18*(1-EXP(-$H$15/$H$17))*EXP(-(ROW()-152)/99*$H$16/$H$17*3)/1000)/$H$7</f>
        <v/>
      </c>
    </row>
    <row r="207">
      <c r="B207">
        <f>$C$18*EXP(-(ROW()-152)/99*$C$16/$C$17*3)</f>
        <v/>
      </c>
      <c r="C207">
        <f>$C$7+($C$18*EXP(-(ROW()-152)/99*$C$16/$C$17*3)/1000)/$C$8</f>
        <v/>
      </c>
      <c r="D207">
        <f>$C$7+($C$18*EXP(-(ROW()-152)/99*$C$16/$C$17*3)/1000)/$C$8-($C$7*($C$11/($C$8+$C$11))+($C$18*EXP(-(ROW()-152)/99*$C$16/$C$17*3)/1000)/$C$11)</f>
        <v/>
      </c>
      <c r="E207">
        <f>$C$7+($C$18*EXP(-(ROW()-152)/99*$C$16/$C$17*3)/1000)/$C$8</f>
        <v/>
      </c>
      <c r="G207">
        <f>$H$18*(1-EXP(-$H$15/$H$17))*EXP(-(ROW()-152)/99*$H$16/$H$17*3)</f>
        <v/>
      </c>
      <c r="H207">
        <f>$H$6+($H$18*(1-EXP(-$H$15/$H$17))*EXP(-(ROW()-152)/99*$H$16/$H$17*3)/1000)/$H$7</f>
        <v/>
      </c>
      <c r="I207">
        <f>$H$6+($H$18*(1-EXP(-$H$15/$H$17))*EXP(-(ROW()-152)/99*$H$16/$H$17*3)/1000)/$H$7-($H$6*($H$10/($H$7+$H$10))+($H$18*(1-EXP(-$H$15/$H$17))*EXP(-(ROW()-152)/99*$H$16/$H$17*3)/1000)/$H$10)</f>
        <v/>
      </c>
      <c r="J207">
        <f>$H$6+($H$18*(1-EXP(-$H$15/$H$17))*EXP(-(ROW()-152)/99*$H$16/$H$17*3)/1000)/$H$7</f>
        <v/>
      </c>
    </row>
    <row r="208">
      <c r="B208">
        <f>$C$18*EXP(-(ROW()-152)/99*$C$16/$C$17*3)</f>
        <v/>
      </c>
      <c r="C208">
        <f>$C$7+($C$18*EXP(-(ROW()-152)/99*$C$16/$C$17*3)/1000)/$C$8</f>
        <v/>
      </c>
      <c r="D208">
        <f>$C$7+($C$18*EXP(-(ROW()-152)/99*$C$16/$C$17*3)/1000)/$C$8-($C$7*($C$11/($C$8+$C$11))+($C$18*EXP(-(ROW()-152)/99*$C$16/$C$17*3)/1000)/$C$11)</f>
        <v/>
      </c>
      <c r="E208">
        <f>$C$7+($C$18*EXP(-(ROW()-152)/99*$C$16/$C$17*3)/1000)/$C$8</f>
        <v/>
      </c>
      <c r="G208">
        <f>$H$18*(1-EXP(-$H$15/$H$17))*EXP(-(ROW()-152)/99*$H$16/$H$17*3)</f>
        <v/>
      </c>
      <c r="H208">
        <f>$H$6+($H$18*(1-EXP(-$H$15/$H$17))*EXP(-(ROW()-152)/99*$H$16/$H$17*3)/1000)/$H$7</f>
        <v/>
      </c>
      <c r="I208">
        <f>$H$6+($H$18*(1-EXP(-$H$15/$H$17))*EXP(-(ROW()-152)/99*$H$16/$H$17*3)/1000)/$H$7-($H$6*($H$10/($H$7+$H$10))+($H$18*(1-EXP(-$H$15/$H$17))*EXP(-(ROW()-152)/99*$H$16/$H$17*3)/1000)/$H$10)</f>
        <v/>
      </c>
      <c r="J208">
        <f>$H$6+($H$18*(1-EXP(-$H$15/$H$17))*EXP(-(ROW()-152)/99*$H$16/$H$17*3)/1000)/$H$7</f>
        <v/>
      </c>
    </row>
    <row r="209">
      <c r="B209">
        <f>$C$18*EXP(-(ROW()-152)/99*$C$16/$C$17*3)</f>
        <v/>
      </c>
      <c r="C209">
        <f>$C$7+($C$18*EXP(-(ROW()-152)/99*$C$16/$C$17*3)/1000)/$C$8</f>
        <v/>
      </c>
      <c r="D209">
        <f>$C$7+($C$18*EXP(-(ROW()-152)/99*$C$16/$C$17*3)/1000)/$C$8-($C$7*($C$11/($C$8+$C$11))+($C$18*EXP(-(ROW()-152)/99*$C$16/$C$17*3)/1000)/$C$11)</f>
        <v/>
      </c>
      <c r="E209">
        <f>$C$7+($C$18*EXP(-(ROW()-152)/99*$C$16/$C$17*3)/1000)/$C$8</f>
        <v/>
      </c>
      <c r="G209">
        <f>$H$18*(1-EXP(-$H$15/$H$17))*EXP(-(ROW()-152)/99*$H$16/$H$17*3)</f>
        <v/>
      </c>
      <c r="H209">
        <f>$H$6+($H$18*(1-EXP(-$H$15/$H$17))*EXP(-(ROW()-152)/99*$H$16/$H$17*3)/1000)/$H$7</f>
        <v/>
      </c>
      <c r="I209">
        <f>$H$6+($H$18*(1-EXP(-$H$15/$H$17))*EXP(-(ROW()-152)/99*$H$16/$H$17*3)/1000)/$H$7-($H$6*($H$10/($H$7+$H$10))+($H$18*(1-EXP(-$H$15/$H$17))*EXP(-(ROW()-152)/99*$H$16/$H$17*3)/1000)/$H$10)</f>
        <v/>
      </c>
      <c r="J209">
        <f>$H$6+($H$18*(1-EXP(-$H$15/$H$17))*EXP(-(ROW()-152)/99*$H$16/$H$17*3)/1000)/$H$7</f>
        <v/>
      </c>
    </row>
    <row r="210">
      <c r="B210">
        <f>$C$18*EXP(-(ROW()-152)/99*$C$16/$C$17*3)</f>
        <v/>
      </c>
      <c r="C210">
        <f>$C$7+($C$18*EXP(-(ROW()-152)/99*$C$16/$C$17*3)/1000)/$C$8</f>
        <v/>
      </c>
      <c r="D210">
        <f>$C$7+($C$18*EXP(-(ROW()-152)/99*$C$16/$C$17*3)/1000)/$C$8-($C$7*($C$11/($C$8+$C$11))+($C$18*EXP(-(ROW()-152)/99*$C$16/$C$17*3)/1000)/$C$11)</f>
        <v/>
      </c>
      <c r="E210">
        <f>$C$7+($C$18*EXP(-(ROW()-152)/99*$C$16/$C$17*3)/1000)/$C$8</f>
        <v/>
      </c>
      <c r="G210">
        <f>$H$18*(1-EXP(-$H$15/$H$17))*EXP(-(ROW()-152)/99*$H$16/$H$17*3)</f>
        <v/>
      </c>
      <c r="H210">
        <f>$H$6+($H$18*(1-EXP(-$H$15/$H$17))*EXP(-(ROW()-152)/99*$H$16/$H$17*3)/1000)/$H$7</f>
        <v/>
      </c>
      <c r="I210">
        <f>$H$6+($H$18*(1-EXP(-$H$15/$H$17))*EXP(-(ROW()-152)/99*$H$16/$H$17*3)/1000)/$H$7-($H$6*($H$10/($H$7+$H$10))+($H$18*(1-EXP(-$H$15/$H$17))*EXP(-(ROW()-152)/99*$H$16/$H$17*3)/1000)/$H$10)</f>
        <v/>
      </c>
      <c r="J210">
        <f>$H$6+($H$18*(1-EXP(-$H$15/$H$17))*EXP(-(ROW()-152)/99*$H$16/$H$17*3)/1000)/$H$7</f>
        <v/>
      </c>
    </row>
    <row r="211">
      <c r="B211">
        <f>$C$18*EXP(-(ROW()-152)/99*$C$16/$C$17*3)</f>
        <v/>
      </c>
      <c r="C211">
        <f>$C$7+($C$18*EXP(-(ROW()-152)/99*$C$16/$C$17*3)/1000)/$C$8</f>
        <v/>
      </c>
      <c r="D211">
        <f>$C$7+($C$18*EXP(-(ROW()-152)/99*$C$16/$C$17*3)/1000)/$C$8-($C$7*($C$11/($C$8+$C$11))+($C$18*EXP(-(ROW()-152)/99*$C$16/$C$17*3)/1000)/$C$11)</f>
        <v/>
      </c>
      <c r="E211">
        <f>$C$7+($C$18*EXP(-(ROW()-152)/99*$C$16/$C$17*3)/1000)/$C$8</f>
        <v/>
      </c>
      <c r="G211">
        <f>$H$18*(1-EXP(-$H$15/$H$17))*EXP(-(ROW()-152)/99*$H$16/$H$17*3)</f>
        <v/>
      </c>
      <c r="H211">
        <f>$H$6+($H$18*(1-EXP(-$H$15/$H$17))*EXP(-(ROW()-152)/99*$H$16/$H$17*3)/1000)/$H$7</f>
        <v/>
      </c>
      <c r="I211">
        <f>$H$6+($H$18*(1-EXP(-$H$15/$H$17))*EXP(-(ROW()-152)/99*$H$16/$H$17*3)/1000)/$H$7-($H$6*($H$10/($H$7+$H$10))+($H$18*(1-EXP(-$H$15/$H$17))*EXP(-(ROW()-152)/99*$H$16/$H$17*3)/1000)/$H$10)</f>
        <v/>
      </c>
      <c r="J211">
        <f>$H$6+($H$18*(1-EXP(-$H$15/$H$17))*EXP(-(ROW()-152)/99*$H$16/$H$17*3)/1000)/$H$7</f>
        <v/>
      </c>
    </row>
    <row r="212">
      <c r="B212">
        <f>$C$18*EXP(-(ROW()-152)/99*$C$16/$C$17*3)</f>
        <v/>
      </c>
      <c r="C212">
        <f>$C$7+($C$18*EXP(-(ROW()-152)/99*$C$16/$C$17*3)/1000)/$C$8</f>
        <v/>
      </c>
      <c r="D212">
        <f>$C$7+($C$18*EXP(-(ROW()-152)/99*$C$16/$C$17*3)/1000)/$C$8-($C$7*($C$11/($C$8+$C$11))+($C$18*EXP(-(ROW()-152)/99*$C$16/$C$17*3)/1000)/$C$11)</f>
        <v/>
      </c>
      <c r="E212">
        <f>$C$7+($C$18*EXP(-(ROW()-152)/99*$C$16/$C$17*3)/1000)/$C$8</f>
        <v/>
      </c>
      <c r="G212">
        <f>$H$18*(1-EXP(-$H$15/$H$17))*EXP(-(ROW()-152)/99*$H$16/$H$17*3)</f>
        <v/>
      </c>
      <c r="H212">
        <f>$H$6+($H$18*(1-EXP(-$H$15/$H$17))*EXP(-(ROW()-152)/99*$H$16/$H$17*3)/1000)/$H$7</f>
        <v/>
      </c>
      <c r="I212">
        <f>$H$6+($H$18*(1-EXP(-$H$15/$H$17))*EXP(-(ROW()-152)/99*$H$16/$H$17*3)/1000)/$H$7-($H$6*($H$10/($H$7+$H$10))+($H$18*(1-EXP(-$H$15/$H$17))*EXP(-(ROW()-152)/99*$H$16/$H$17*3)/1000)/$H$10)</f>
        <v/>
      </c>
      <c r="J212">
        <f>$H$6+($H$18*(1-EXP(-$H$15/$H$17))*EXP(-(ROW()-152)/99*$H$16/$H$17*3)/1000)/$H$7</f>
        <v/>
      </c>
    </row>
    <row r="213">
      <c r="B213">
        <f>$C$18*EXP(-(ROW()-152)/99*$C$16/$C$17*3)</f>
        <v/>
      </c>
      <c r="C213">
        <f>$C$7+($C$18*EXP(-(ROW()-152)/99*$C$16/$C$17*3)/1000)/$C$8</f>
        <v/>
      </c>
      <c r="D213">
        <f>$C$7+($C$18*EXP(-(ROW()-152)/99*$C$16/$C$17*3)/1000)/$C$8-($C$7*($C$11/($C$8+$C$11))+($C$18*EXP(-(ROW()-152)/99*$C$16/$C$17*3)/1000)/$C$11)</f>
        <v/>
      </c>
      <c r="E213">
        <f>$C$7+($C$18*EXP(-(ROW()-152)/99*$C$16/$C$17*3)/1000)/$C$8</f>
        <v/>
      </c>
      <c r="G213">
        <f>$H$18*(1-EXP(-$H$15/$H$17))*EXP(-(ROW()-152)/99*$H$16/$H$17*3)</f>
        <v/>
      </c>
      <c r="H213">
        <f>$H$6+($H$18*(1-EXP(-$H$15/$H$17))*EXP(-(ROW()-152)/99*$H$16/$H$17*3)/1000)/$H$7</f>
        <v/>
      </c>
      <c r="I213">
        <f>$H$6+($H$18*(1-EXP(-$H$15/$H$17))*EXP(-(ROW()-152)/99*$H$16/$H$17*3)/1000)/$H$7-($H$6*($H$10/($H$7+$H$10))+($H$18*(1-EXP(-$H$15/$H$17))*EXP(-(ROW()-152)/99*$H$16/$H$17*3)/1000)/$H$10)</f>
        <v/>
      </c>
      <c r="J213">
        <f>$H$6+($H$18*(1-EXP(-$H$15/$H$17))*EXP(-(ROW()-152)/99*$H$16/$H$17*3)/1000)/$H$7</f>
        <v/>
      </c>
    </row>
    <row r="214">
      <c r="B214">
        <f>$C$18*EXP(-(ROW()-152)/99*$C$16/$C$17*3)</f>
        <v/>
      </c>
      <c r="C214">
        <f>$C$7+($C$18*EXP(-(ROW()-152)/99*$C$16/$C$17*3)/1000)/$C$8</f>
        <v/>
      </c>
      <c r="D214">
        <f>$C$7+($C$18*EXP(-(ROW()-152)/99*$C$16/$C$17*3)/1000)/$C$8-($C$7*($C$11/($C$8+$C$11))+($C$18*EXP(-(ROW()-152)/99*$C$16/$C$17*3)/1000)/$C$11)</f>
        <v/>
      </c>
      <c r="E214">
        <f>$C$7+($C$18*EXP(-(ROW()-152)/99*$C$16/$C$17*3)/1000)/$C$8</f>
        <v/>
      </c>
      <c r="G214">
        <f>$H$18*(1-EXP(-$H$15/$H$17))*EXP(-(ROW()-152)/99*$H$16/$H$17*3)</f>
        <v/>
      </c>
      <c r="H214">
        <f>$H$6+($H$18*(1-EXP(-$H$15/$H$17))*EXP(-(ROW()-152)/99*$H$16/$H$17*3)/1000)/$H$7</f>
        <v/>
      </c>
      <c r="I214">
        <f>$H$6+($H$18*(1-EXP(-$H$15/$H$17))*EXP(-(ROW()-152)/99*$H$16/$H$17*3)/1000)/$H$7-($H$6*($H$10/($H$7+$H$10))+($H$18*(1-EXP(-$H$15/$H$17))*EXP(-(ROW()-152)/99*$H$16/$H$17*3)/1000)/$H$10)</f>
        <v/>
      </c>
      <c r="J214">
        <f>$H$6+($H$18*(1-EXP(-$H$15/$H$17))*EXP(-(ROW()-152)/99*$H$16/$H$17*3)/1000)/$H$7</f>
        <v/>
      </c>
    </row>
    <row r="215">
      <c r="B215">
        <f>$C$18*EXP(-(ROW()-152)/99*$C$16/$C$17*3)</f>
        <v/>
      </c>
      <c r="C215">
        <f>$C$7+($C$18*EXP(-(ROW()-152)/99*$C$16/$C$17*3)/1000)/$C$8</f>
        <v/>
      </c>
      <c r="D215">
        <f>$C$7+($C$18*EXP(-(ROW()-152)/99*$C$16/$C$17*3)/1000)/$C$8-($C$7*($C$11/($C$8+$C$11))+($C$18*EXP(-(ROW()-152)/99*$C$16/$C$17*3)/1000)/$C$11)</f>
        <v/>
      </c>
      <c r="E215">
        <f>$C$7+($C$18*EXP(-(ROW()-152)/99*$C$16/$C$17*3)/1000)/$C$8</f>
        <v/>
      </c>
      <c r="G215">
        <f>$H$18*(1-EXP(-$H$15/$H$17))*EXP(-(ROW()-152)/99*$H$16/$H$17*3)</f>
        <v/>
      </c>
      <c r="H215">
        <f>$H$6+($H$18*(1-EXP(-$H$15/$H$17))*EXP(-(ROW()-152)/99*$H$16/$H$17*3)/1000)/$H$7</f>
        <v/>
      </c>
      <c r="I215">
        <f>$H$6+($H$18*(1-EXP(-$H$15/$H$17))*EXP(-(ROW()-152)/99*$H$16/$H$17*3)/1000)/$H$7-($H$6*($H$10/($H$7+$H$10))+($H$18*(1-EXP(-$H$15/$H$17))*EXP(-(ROW()-152)/99*$H$16/$H$17*3)/1000)/$H$10)</f>
        <v/>
      </c>
      <c r="J215">
        <f>$H$6+($H$18*(1-EXP(-$H$15/$H$17))*EXP(-(ROW()-152)/99*$H$16/$H$17*3)/1000)/$H$7</f>
        <v/>
      </c>
    </row>
    <row r="216">
      <c r="B216">
        <f>$C$18*EXP(-(ROW()-152)/99*$C$16/$C$17*3)</f>
        <v/>
      </c>
      <c r="C216">
        <f>$C$7+($C$18*EXP(-(ROW()-152)/99*$C$16/$C$17*3)/1000)/$C$8</f>
        <v/>
      </c>
      <c r="D216">
        <f>$C$7+($C$18*EXP(-(ROW()-152)/99*$C$16/$C$17*3)/1000)/$C$8-($C$7*($C$11/($C$8+$C$11))+($C$18*EXP(-(ROW()-152)/99*$C$16/$C$17*3)/1000)/$C$11)</f>
        <v/>
      </c>
      <c r="E216">
        <f>$C$7+($C$18*EXP(-(ROW()-152)/99*$C$16/$C$17*3)/1000)/$C$8</f>
        <v/>
      </c>
      <c r="G216">
        <f>$H$18*(1-EXP(-$H$15/$H$17))*EXP(-(ROW()-152)/99*$H$16/$H$17*3)</f>
        <v/>
      </c>
      <c r="H216">
        <f>$H$6+($H$18*(1-EXP(-$H$15/$H$17))*EXP(-(ROW()-152)/99*$H$16/$H$17*3)/1000)/$H$7</f>
        <v/>
      </c>
      <c r="I216">
        <f>$H$6+($H$18*(1-EXP(-$H$15/$H$17))*EXP(-(ROW()-152)/99*$H$16/$H$17*3)/1000)/$H$7-($H$6*($H$10/($H$7+$H$10))+($H$18*(1-EXP(-$H$15/$H$17))*EXP(-(ROW()-152)/99*$H$16/$H$17*3)/1000)/$H$10)</f>
        <v/>
      </c>
      <c r="J216">
        <f>$H$6+($H$18*(1-EXP(-$H$15/$H$17))*EXP(-(ROW()-152)/99*$H$16/$H$17*3)/1000)/$H$7</f>
        <v/>
      </c>
    </row>
    <row r="217">
      <c r="B217">
        <f>$C$18*EXP(-(ROW()-152)/99*$C$16/$C$17*3)</f>
        <v/>
      </c>
      <c r="C217">
        <f>$C$7+($C$18*EXP(-(ROW()-152)/99*$C$16/$C$17*3)/1000)/$C$8</f>
        <v/>
      </c>
      <c r="D217">
        <f>$C$7+($C$18*EXP(-(ROW()-152)/99*$C$16/$C$17*3)/1000)/$C$8-($C$7*($C$11/($C$8+$C$11))+($C$18*EXP(-(ROW()-152)/99*$C$16/$C$17*3)/1000)/$C$11)</f>
        <v/>
      </c>
      <c r="E217">
        <f>$C$7+($C$18*EXP(-(ROW()-152)/99*$C$16/$C$17*3)/1000)/$C$8</f>
        <v/>
      </c>
      <c r="G217">
        <f>$H$18*(1-EXP(-$H$15/$H$17))*EXP(-(ROW()-152)/99*$H$16/$H$17*3)</f>
        <v/>
      </c>
      <c r="H217">
        <f>$H$6+($H$18*(1-EXP(-$H$15/$H$17))*EXP(-(ROW()-152)/99*$H$16/$H$17*3)/1000)/$H$7</f>
        <v/>
      </c>
      <c r="I217">
        <f>$H$6+($H$18*(1-EXP(-$H$15/$H$17))*EXP(-(ROW()-152)/99*$H$16/$H$17*3)/1000)/$H$7-($H$6*($H$10/($H$7+$H$10))+($H$18*(1-EXP(-$H$15/$H$17))*EXP(-(ROW()-152)/99*$H$16/$H$17*3)/1000)/$H$10)</f>
        <v/>
      </c>
      <c r="J217">
        <f>$H$6+($H$18*(1-EXP(-$H$15/$H$17))*EXP(-(ROW()-152)/99*$H$16/$H$17*3)/1000)/$H$7</f>
        <v/>
      </c>
    </row>
    <row r="218">
      <c r="B218">
        <f>$C$18*EXP(-(ROW()-152)/99*$C$16/$C$17*3)</f>
        <v/>
      </c>
      <c r="C218">
        <f>$C$7+($C$18*EXP(-(ROW()-152)/99*$C$16/$C$17*3)/1000)/$C$8</f>
        <v/>
      </c>
      <c r="D218">
        <f>$C$7+($C$18*EXP(-(ROW()-152)/99*$C$16/$C$17*3)/1000)/$C$8-($C$7*($C$11/($C$8+$C$11))+($C$18*EXP(-(ROW()-152)/99*$C$16/$C$17*3)/1000)/$C$11)</f>
        <v/>
      </c>
      <c r="E218">
        <f>$C$7+($C$18*EXP(-(ROW()-152)/99*$C$16/$C$17*3)/1000)/$C$8</f>
        <v/>
      </c>
      <c r="G218">
        <f>$H$18*(1-EXP(-$H$15/$H$17))*EXP(-(ROW()-152)/99*$H$16/$H$17*3)</f>
        <v/>
      </c>
      <c r="H218">
        <f>$H$6+($H$18*(1-EXP(-$H$15/$H$17))*EXP(-(ROW()-152)/99*$H$16/$H$17*3)/1000)/$H$7</f>
        <v/>
      </c>
      <c r="I218">
        <f>$H$6+($H$18*(1-EXP(-$H$15/$H$17))*EXP(-(ROW()-152)/99*$H$16/$H$17*3)/1000)/$H$7-($H$6*($H$10/($H$7+$H$10))+($H$18*(1-EXP(-$H$15/$H$17))*EXP(-(ROW()-152)/99*$H$16/$H$17*3)/1000)/$H$10)</f>
        <v/>
      </c>
      <c r="J218">
        <f>$H$6+($H$18*(1-EXP(-$H$15/$H$17))*EXP(-(ROW()-152)/99*$H$16/$H$17*3)/1000)/$H$7</f>
        <v/>
      </c>
    </row>
    <row r="219">
      <c r="B219">
        <f>$C$18*EXP(-(ROW()-152)/99*$C$16/$C$17*3)</f>
        <v/>
      </c>
      <c r="C219">
        <f>$C$7+($C$18*EXP(-(ROW()-152)/99*$C$16/$C$17*3)/1000)/$C$8</f>
        <v/>
      </c>
      <c r="D219">
        <f>$C$7+($C$18*EXP(-(ROW()-152)/99*$C$16/$C$17*3)/1000)/$C$8-($C$7*($C$11/($C$8+$C$11))+($C$18*EXP(-(ROW()-152)/99*$C$16/$C$17*3)/1000)/$C$11)</f>
        <v/>
      </c>
      <c r="E219">
        <f>$C$7+($C$18*EXP(-(ROW()-152)/99*$C$16/$C$17*3)/1000)/$C$8</f>
        <v/>
      </c>
      <c r="G219">
        <f>$H$18*(1-EXP(-$H$15/$H$17))*EXP(-(ROW()-152)/99*$H$16/$H$17*3)</f>
        <v/>
      </c>
      <c r="H219">
        <f>$H$6+($H$18*(1-EXP(-$H$15/$H$17))*EXP(-(ROW()-152)/99*$H$16/$H$17*3)/1000)/$H$7</f>
        <v/>
      </c>
      <c r="I219">
        <f>$H$6+($H$18*(1-EXP(-$H$15/$H$17))*EXP(-(ROW()-152)/99*$H$16/$H$17*3)/1000)/$H$7-($H$6*($H$10/($H$7+$H$10))+($H$18*(1-EXP(-$H$15/$H$17))*EXP(-(ROW()-152)/99*$H$16/$H$17*3)/1000)/$H$10)</f>
        <v/>
      </c>
      <c r="J219">
        <f>$H$6+($H$18*(1-EXP(-$H$15/$H$17))*EXP(-(ROW()-152)/99*$H$16/$H$17*3)/1000)/$H$7</f>
        <v/>
      </c>
    </row>
    <row r="220">
      <c r="B220">
        <f>$C$18*EXP(-(ROW()-152)/99*$C$16/$C$17*3)</f>
        <v/>
      </c>
      <c r="C220">
        <f>$C$7+($C$18*EXP(-(ROW()-152)/99*$C$16/$C$17*3)/1000)/$C$8</f>
        <v/>
      </c>
      <c r="D220">
        <f>$C$7+($C$18*EXP(-(ROW()-152)/99*$C$16/$C$17*3)/1000)/$C$8-($C$7*($C$11/($C$8+$C$11))+($C$18*EXP(-(ROW()-152)/99*$C$16/$C$17*3)/1000)/$C$11)</f>
        <v/>
      </c>
      <c r="E220">
        <f>$C$7+($C$18*EXP(-(ROW()-152)/99*$C$16/$C$17*3)/1000)/$C$8</f>
        <v/>
      </c>
      <c r="G220">
        <f>$H$18*(1-EXP(-$H$15/$H$17))*EXP(-(ROW()-152)/99*$H$16/$H$17*3)</f>
        <v/>
      </c>
      <c r="H220">
        <f>$H$6+($H$18*(1-EXP(-$H$15/$H$17))*EXP(-(ROW()-152)/99*$H$16/$H$17*3)/1000)/$H$7</f>
        <v/>
      </c>
      <c r="I220">
        <f>$H$6+($H$18*(1-EXP(-$H$15/$H$17))*EXP(-(ROW()-152)/99*$H$16/$H$17*3)/1000)/$H$7-($H$6*($H$10/($H$7+$H$10))+($H$18*(1-EXP(-$H$15/$H$17))*EXP(-(ROW()-152)/99*$H$16/$H$17*3)/1000)/$H$10)</f>
        <v/>
      </c>
      <c r="J220">
        <f>$H$6+($H$18*(1-EXP(-$H$15/$H$17))*EXP(-(ROW()-152)/99*$H$16/$H$17*3)/1000)/$H$7</f>
        <v/>
      </c>
    </row>
    <row r="221">
      <c r="B221">
        <f>$C$18*EXP(-(ROW()-152)/99*$C$16/$C$17*3)</f>
        <v/>
      </c>
      <c r="C221">
        <f>$C$7+($C$18*EXP(-(ROW()-152)/99*$C$16/$C$17*3)/1000)/$C$8</f>
        <v/>
      </c>
      <c r="D221">
        <f>$C$7+($C$18*EXP(-(ROW()-152)/99*$C$16/$C$17*3)/1000)/$C$8-($C$7*($C$11/($C$8+$C$11))+($C$18*EXP(-(ROW()-152)/99*$C$16/$C$17*3)/1000)/$C$11)</f>
        <v/>
      </c>
      <c r="E221">
        <f>$C$7+($C$18*EXP(-(ROW()-152)/99*$C$16/$C$17*3)/1000)/$C$8</f>
        <v/>
      </c>
      <c r="G221">
        <f>$H$18*(1-EXP(-$H$15/$H$17))*EXP(-(ROW()-152)/99*$H$16/$H$17*3)</f>
        <v/>
      </c>
      <c r="H221">
        <f>$H$6+($H$18*(1-EXP(-$H$15/$H$17))*EXP(-(ROW()-152)/99*$H$16/$H$17*3)/1000)/$H$7</f>
        <v/>
      </c>
      <c r="I221">
        <f>$H$6+($H$18*(1-EXP(-$H$15/$H$17))*EXP(-(ROW()-152)/99*$H$16/$H$17*3)/1000)/$H$7-($H$6*($H$10/($H$7+$H$10))+($H$18*(1-EXP(-$H$15/$H$17))*EXP(-(ROW()-152)/99*$H$16/$H$17*3)/1000)/$H$10)</f>
        <v/>
      </c>
      <c r="J221">
        <f>$H$6+($H$18*(1-EXP(-$H$15/$H$17))*EXP(-(ROW()-152)/99*$H$16/$H$17*3)/1000)/$H$7</f>
        <v/>
      </c>
    </row>
    <row r="222">
      <c r="B222">
        <f>$C$18*EXP(-(ROW()-152)/99*$C$16/$C$17*3)</f>
        <v/>
      </c>
      <c r="C222">
        <f>$C$7+($C$18*EXP(-(ROW()-152)/99*$C$16/$C$17*3)/1000)/$C$8</f>
        <v/>
      </c>
      <c r="D222">
        <f>$C$7+($C$18*EXP(-(ROW()-152)/99*$C$16/$C$17*3)/1000)/$C$8-($C$7*($C$11/($C$8+$C$11))+($C$18*EXP(-(ROW()-152)/99*$C$16/$C$17*3)/1000)/$C$11)</f>
        <v/>
      </c>
      <c r="E222">
        <f>$C$7+($C$18*EXP(-(ROW()-152)/99*$C$16/$C$17*3)/1000)/$C$8</f>
        <v/>
      </c>
      <c r="G222">
        <f>$H$18*(1-EXP(-$H$15/$H$17))*EXP(-(ROW()-152)/99*$H$16/$H$17*3)</f>
        <v/>
      </c>
      <c r="H222">
        <f>$H$6+($H$18*(1-EXP(-$H$15/$H$17))*EXP(-(ROW()-152)/99*$H$16/$H$17*3)/1000)/$H$7</f>
        <v/>
      </c>
      <c r="I222">
        <f>$H$6+($H$18*(1-EXP(-$H$15/$H$17))*EXP(-(ROW()-152)/99*$H$16/$H$17*3)/1000)/$H$7-($H$6*($H$10/($H$7+$H$10))+($H$18*(1-EXP(-$H$15/$H$17))*EXP(-(ROW()-152)/99*$H$16/$H$17*3)/1000)/$H$10)</f>
        <v/>
      </c>
      <c r="J222">
        <f>$H$6+($H$18*(1-EXP(-$H$15/$H$17))*EXP(-(ROW()-152)/99*$H$16/$H$17*3)/1000)/$H$7</f>
        <v/>
      </c>
    </row>
    <row r="223">
      <c r="B223">
        <f>$C$18*EXP(-(ROW()-152)/99*$C$16/$C$17*3)</f>
        <v/>
      </c>
      <c r="C223">
        <f>$C$7+($C$18*EXP(-(ROW()-152)/99*$C$16/$C$17*3)/1000)/$C$8</f>
        <v/>
      </c>
      <c r="D223">
        <f>$C$7+($C$18*EXP(-(ROW()-152)/99*$C$16/$C$17*3)/1000)/$C$8-($C$7*($C$11/($C$8+$C$11))+($C$18*EXP(-(ROW()-152)/99*$C$16/$C$17*3)/1000)/$C$11)</f>
        <v/>
      </c>
      <c r="E223">
        <f>$C$7+($C$18*EXP(-(ROW()-152)/99*$C$16/$C$17*3)/1000)/$C$8</f>
        <v/>
      </c>
      <c r="G223">
        <f>$H$18*(1-EXP(-$H$15/$H$17))*EXP(-(ROW()-152)/99*$H$16/$H$17*3)</f>
        <v/>
      </c>
      <c r="H223">
        <f>$H$6+($H$18*(1-EXP(-$H$15/$H$17))*EXP(-(ROW()-152)/99*$H$16/$H$17*3)/1000)/$H$7</f>
        <v/>
      </c>
      <c r="I223">
        <f>$H$6+($H$18*(1-EXP(-$H$15/$H$17))*EXP(-(ROW()-152)/99*$H$16/$H$17*3)/1000)/$H$7-($H$6*($H$10/($H$7+$H$10))+($H$18*(1-EXP(-$H$15/$H$17))*EXP(-(ROW()-152)/99*$H$16/$H$17*3)/1000)/$H$10)</f>
        <v/>
      </c>
      <c r="J223">
        <f>$H$6+($H$18*(1-EXP(-$H$15/$H$17))*EXP(-(ROW()-152)/99*$H$16/$H$17*3)/1000)/$H$7</f>
        <v/>
      </c>
    </row>
    <row r="224">
      <c r="B224">
        <f>$C$18*EXP(-(ROW()-152)/99*$C$16/$C$17*3)</f>
        <v/>
      </c>
      <c r="C224">
        <f>$C$7+($C$18*EXP(-(ROW()-152)/99*$C$16/$C$17*3)/1000)/$C$8</f>
        <v/>
      </c>
      <c r="D224">
        <f>$C$7+($C$18*EXP(-(ROW()-152)/99*$C$16/$C$17*3)/1000)/$C$8-($C$7*($C$11/($C$8+$C$11))+($C$18*EXP(-(ROW()-152)/99*$C$16/$C$17*3)/1000)/$C$11)</f>
        <v/>
      </c>
      <c r="E224">
        <f>$C$7+($C$18*EXP(-(ROW()-152)/99*$C$16/$C$17*3)/1000)/$C$8</f>
        <v/>
      </c>
      <c r="G224">
        <f>$H$18*(1-EXP(-$H$15/$H$17))*EXP(-(ROW()-152)/99*$H$16/$H$17*3)</f>
        <v/>
      </c>
      <c r="H224">
        <f>$H$6+($H$18*(1-EXP(-$H$15/$H$17))*EXP(-(ROW()-152)/99*$H$16/$H$17*3)/1000)/$H$7</f>
        <v/>
      </c>
      <c r="I224">
        <f>$H$6+($H$18*(1-EXP(-$H$15/$H$17))*EXP(-(ROW()-152)/99*$H$16/$H$17*3)/1000)/$H$7-($H$6*($H$10/($H$7+$H$10))+($H$18*(1-EXP(-$H$15/$H$17))*EXP(-(ROW()-152)/99*$H$16/$H$17*3)/1000)/$H$10)</f>
        <v/>
      </c>
      <c r="J224">
        <f>$H$6+($H$18*(1-EXP(-$H$15/$H$17))*EXP(-(ROW()-152)/99*$H$16/$H$17*3)/1000)/$H$7</f>
        <v/>
      </c>
    </row>
    <row r="225">
      <c r="B225">
        <f>$C$18*EXP(-(ROW()-152)/99*$C$16/$C$17*3)</f>
        <v/>
      </c>
      <c r="C225">
        <f>$C$7+($C$18*EXP(-(ROW()-152)/99*$C$16/$C$17*3)/1000)/$C$8</f>
        <v/>
      </c>
      <c r="D225">
        <f>$C$7+($C$18*EXP(-(ROW()-152)/99*$C$16/$C$17*3)/1000)/$C$8-($C$7*($C$11/($C$8+$C$11))+($C$18*EXP(-(ROW()-152)/99*$C$16/$C$17*3)/1000)/$C$11)</f>
        <v/>
      </c>
      <c r="E225">
        <f>$C$7+($C$18*EXP(-(ROW()-152)/99*$C$16/$C$17*3)/1000)/$C$8</f>
        <v/>
      </c>
      <c r="G225">
        <f>$H$18*(1-EXP(-$H$15/$H$17))*EXP(-(ROW()-152)/99*$H$16/$H$17*3)</f>
        <v/>
      </c>
      <c r="H225">
        <f>$H$6+($H$18*(1-EXP(-$H$15/$H$17))*EXP(-(ROW()-152)/99*$H$16/$H$17*3)/1000)/$H$7</f>
        <v/>
      </c>
      <c r="I225">
        <f>$H$6+($H$18*(1-EXP(-$H$15/$H$17))*EXP(-(ROW()-152)/99*$H$16/$H$17*3)/1000)/$H$7-($H$6*($H$10/($H$7+$H$10))+($H$18*(1-EXP(-$H$15/$H$17))*EXP(-(ROW()-152)/99*$H$16/$H$17*3)/1000)/$H$10)</f>
        <v/>
      </c>
      <c r="J225">
        <f>$H$6+($H$18*(1-EXP(-$H$15/$H$17))*EXP(-(ROW()-152)/99*$H$16/$H$17*3)/1000)/$H$7</f>
        <v/>
      </c>
    </row>
    <row r="226">
      <c r="B226">
        <f>$C$18*EXP(-(ROW()-152)/99*$C$16/$C$17*3)</f>
        <v/>
      </c>
      <c r="C226">
        <f>$C$7+($C$18*EXP(-(ROW()-152)/99*$C$16/$C$17*3)/1000)/$C$8</f>
        <v/>
      </c>
      <c r="D226">
        <f>$C$7+($C$18*EXP(-(ROW()-152)/99*$C$16/$C$17*3)/1000)/$C$8-($C$7*($C$11/($C$8+$C$11))+($C$18*EXP(-(ROW()-152)/99*$C$16/$C$17*3)/1000)/$C$11)</f>
        <v/>
      </c>
      <c r="E226">
        <f>$C$7+($C$18*EXP(-(ROW()-152)/99*$C$16/$C$17*3)/1000)/$C$8</f>
        <v/>
      </c>
      <c r="G226">
        <f>$H$18*(1-EXP(-$H$15/$H$17))*EXP(-(ROW()-152)/99*$H$16/$H$17*3)</f>
        <v/>
      </c>
      <c r="H226">
        <f>$H$6+($H$18*(1-EXP(-$H$15/$H$17))*EXP(-(ROW()-152)/99*$H$16/$H$17*3)/1000)/$H$7</f>
        <v/>
      </c>
      <c r="I226">
        <f>$H$6+($H$18*(1-EXP(-$H$15/$H$17))*EXP(-(ROW()-152)/99*$H$16/$H$17*3)/1000)/$H$7-($H$6*($H$10/($H$7+$H$10))+($H$18*(1-EXP(-$H$15/$H$17))*EXP(-(ROW()-152)/99*$H$16/$H$17*3)/1000)/$H$10)</f>
        <v/>
      </c>
      <c r="J226">
        <f>$H$6+($H$18*(1-EXP(-$H$15/$H$17))*EXP(-(ROW()-152)/99*$H$16/$H$17*3)/1000)/$H$7</f>
        <v/>
      </c>
    </row>
    <row r="227">
      <c r="B227">
        <f>$C$18*EXP(-(ROW()-152)/99*$C$16/$C$17*3)</f>
        <v/>
      </c>
      <c r="C227">
        <f>$C$7+($C$18*EXP(-(ROW()-152)/99*$C$16/$C$17*3)/1000)/$C$8</f>
        <v/>
      </c>
      <c r="D227">
        <f>$C$7+($C$18*EXP(-(ROW()-152)/99*$C$16/$C$17*3)/1000)/$C$8-($C$7*($C$11/($C$8+$C$11))+($C$18*EXP(-(ROW()-152)/99*$C$16/$C$17*3)/1000)/$C$11)</f>
        <v/>
      </c>
      <c r="E227">
        <f>$C$7+($C$18*EXP(-(ROW()-152)/99*$C$16/$C$17*3)/1000)/$C$8</f>
        <v/>
      </c>
      <c r="G227">
        <f>$H$18*(1-EXP(-$H$15/$H$17))*EXP(-(ROW()-152)/99*$H$16/$H$17*3)</f>
        <v/>
      </c>
      <c r="H227">
        <f>$H$6+($H$18*(1-EXP(-$H$15/$H$17))*EXP(-(ROW()-152)/99*$H$16/$H$17*3)/1000)/$H$7</f>
        <v/>
      </c>
      <c r="I227">
        <f>$H$6+($H$18*(1-EXP(-$H$15/$H$17))*EXP(-(ROW()-152)/99*$H$16/$H$17*3)/1000)/$H$7-($H$6*($H$10/($H$7+$H$10))+($H$18*(1-EXP(-$H$15/$H$17))*EXP(-(ROW()-152)/99*$H$16/$H$17*3)/1000)/$H$10)</f>
        <v/>
      </c>
      <c r="J227">
        <f>$H$6+($H$18*(1-EXP(-$H$15/$H$17))*EXP(-(ROW()-152)/99*$H$16/$H$17*3)/1000)/$H$7</f>
        <v/>
      </c>
    </row>
    <row r="228">
      <c r="B228">
        <f>$C$18*EXP(-(ROW()-152)/99*$C$16/$C$17*3)</f>
        <v/>
      </c>
      <c r="C228">
        <f>$C$7+($C$18*EXP(-(ROW()-152)/99*$C$16/$C$17*3)/1000)/$C$8</f>
        <v/>
      </c>
      <c r="D228">
        <f>$C$7+($C$18*EXP(-(ROW()-152)/99*$C$16/$C$17*3)/1000)/$C$8-($C$7*($C$11/($C$8+$C$11))+($C$18*EXP(-(ROW()-152)/99*$C$16/$C$17*3)/1000)/$C$11)</f>
        <v/>
      </c>
      <c r="E228">
        <f>$C$7+($C$18*EXP(-(ROW()-152)/99*$C$16/$C$17*3)/1000)/$C$8</f>
        <v/>
      </c>
      <c r="G228">
        <f>$H$18*(1-EXP(-$H$15/$H$17))*EXP(-(ROW()-152)/99*$H$16/$H$17*3)</f>
        <v/>
      </c>
      <c r="H228">
        <f>$H$6+($H$18*(1-EXP(-$H$15/$H$17))*EXP(-(ROW()-152)/99*$H$16/$H$17*3)/1000)/$H$7</f>
        <v/>
      </c>
      <c r="I228">
        <f>$H$6+($H$18*(1-EXP(-$H$15/$H$17))*EXP(-(ROW()-152)/99*$H$16/$H$17*3)/1000)/$H$7-($H$6*($H$10/($H$7+$H$10))+($H$18*(1-EXP(-$H$15/$H$17))*EXP(-(ROW()-152)/99*$H$16/$H$17*3)/1000)/$H$10)</f>
        <v/>
      </c>
      <c r="J228">
        <f>$H$6+($H$18*(1-EXP(-$H$15/$H$17))*EXP(-(ROW()-152)/99*$H$16/$H$17*3)/1000)/$H$7</f>
        <v/>
      </c>
    </row>
    <row r="229">
      <c r="B229">
        <f>$C$18*EXP(-(ROW()-152)/99*$C$16/$C$17*3)</f>
        <v/>
      </c>
      <c r="C229">
        <f>$C$7+($C$18*EXP(-(ROW()-152)/99*$C$16/$C$17*3)/1000)/$C$8</f>
        <v/>
      </c>
      <c r="D229">
        <f>$C$7+($C$18*EXP(-(ROW()-152)/99*$C$16/$C$17*3)/1000)/$C$8-($C$7*($C$11/($C$8+$C$11))+($C$18*EXP(-(ROW()-152)/99*$C$16/$C$17*3)/1000)/$C$11)</f>
        <v/>
      </c>
      <c r="E229">
        <f>$C$7+($C$18*EXP(-(ROW()-152)/99*$C$16/$C$17*3)/1000)/$C$8</f>
        <v/>
      </c>
      <c r="G229">
        <f>$H$18*(1-EXP(-$H$15/$H$17))*EXP(-(ROW()-152)/99*$H$16/$H$17*3)</f>
        <v/>
      </c>
      <c r="H229">
        <f>$H$6+($H$18*(1-EXP(-$H$15/$H$17))*EXP(-(ROW()-152)/99*$H$16/$H$17*3)/1000)/$H$7</f>
        <v/>
      </c>
      <c r="I229">
        <f>$H$6+($H$18*(1-EXP(-$H$15/$H$17))*EXP(-(ROW()-152)/99*$H$16/$H$17*3)/1000)/$H$7-($H$6*($H$10/($H$7+$H$10))+($H$18*(1-EXP(-$H$15/$H$17))*EXP(-(ROW()-152)/99*$H$16/$H$17*3)/1000)/$H$10)</f>
        <v/>
      </c>
      <c r="J229">
        <f>$H$6+($H$18*(1-EXP(-$H$15/$H$17))*EXP(-(ROW()-152)/99*$H$16/$H$17*3)/1000)/$H$7</f>
        <v/>
      </c>
    </row>
    <row r="230">
      <c r="B230">
        <f>$C$18*EXP(-(ROW()-152)/99*$C$16/$C$17*3)</f>
        <v/>
      </c>
      <c r="C230">
        <f>$C$7+($C$18*EXP(-(ROW()-152)/99*$C$16/$C$17*3)/1000)/$C$8</f>
        <v/>
      </c>
      <c r="D230">
        <f>$C$7+($C$18*EXP(-(ROW()-152)/99*$C$16/$C$17*3)/1000)/$C$8-($C$7*($C$11/($C$8+$C$11))+($C$18*EXP(-(ROW()-152)/99*$C$16/$C$17*3)/1000)/$C$11)</f>
        <v/>
      </c>
      <c r="E230">
        <f>$C$7+($C$18*EXP(-(ROW()-152)/99*$C$16/$C$17*3)/1000)/$C$8</f>
        <v/>
      </c>
      <c r="G230">
        <f>$H$18*(1-EXP(-$H$15/$H$17))*EXP(-(ROW()-152)/99*$H$16/$H$17*3)</f>
        <v/>
      </c>
      <c r="H230">
        <f>$H$6+($H$18*(1-EXP(-$H$15/$H$17))*EXP(-(ROW()-152)/99*$H$16/$H$17*3)/1000)/$H$7</f>
        <v/>
      </c>
      <c r="I230">
        <f>$H$6+($H$18*(1-EXP(-$H$15/$H$17))*EXP(-(ROW()-152)/99*$H$16/$H$17*3)/1000)/$H$7-($H$6*($H$10/($H$7+$H$10))+($H$18*(1-EXP(-$H$15/$H$17))*EXP(-(ROW()-152)/99*$H$16/$H$17*3)/1000)/$H$10)</f>
        <v/>
      </c>
      <c r="J230">
        <f>$H$6+($H$18*(1-EXP(-$H$15/$H$17))*EXP(-(ROW()-152)/99*$H$16/$H$17*3)/1000)/$H$7</f>
        <v/>
      </c>
    </row>
    <row r="231">
      <c r="B231">
        <f>$C$18*EXP(-(ROW()-152)/99*$C$16/$C$17*3)</f>
        <v/>
      </c>
      <c r="C231">
        <f>$C$7+($C$18*EXP(-(ROW()-152)/99*$C$16/$C$17*3)/1000)/$C$8</f>
        <v/>
      </c>
      <c r="D231">
        <f>$C$7+($C$18*EXP(-(ROW()-152)/99*$C$16/$C$17*3)/1000)/$C$8-($C$7*($C$11/($C$8+$C$11))+($C$18*EXP(-(ROW()-152)/99*$C$16/$C$17*3)/1000)/$C$11)</f>
        <v/>
      </c>
      <c r="E231">
        <f>$C$7+($C$18*EXP(-(ROW()-152)/99*$C$16/$C$17*3)/1000)/$C$8</f>
        <v/>
      </c>
      <c r="G231">
        <f>$H$18*(1-EXP(-$H$15/$H$17))*EXP(-(ROW()-152)/99*$H$16/$H$17*3)</f>
        <v/>
      </c>
      <c r="H231">
        <f>$H$6+($H$18*(1-EXP(-$H$15/$H$17))*EXP(-(ROW()-152)/99*$H$16/$H$17*3)/1000)/$H$7</f>
        <v/>
      </c>
      <c r="I231">
        <f>$H$6+($H$18*(1-EXP(-$H$15/$H$17))*EXP(-(ROW()-152)/99*$H$16/$H$17*3)/1000)/$H$7-($H$6*($H$10/($H$7+$H$10))+($H$18*(1-EXP(-$H$15/$H$17))*EXP(-(ROW()-152)/99*$H$16/$H$17*3)/1000)/$H$10)</f>
        <v/>
      </c>
      <c r="J231">
        <f>$H$6+($H$18*(1-EXP(-$H$15/$H$17))*EXP(-(ROW()-152)/99*$H$16/$H$17*3)/1000)/$H$7</f>
        <v/>
      </c>
    </row>
    <row r="232">
      <c r="B232">
        <f>$C$18*EXP(-(ROW()-152)/99*$C$16/$C$17*3)</f>
        <v/>
      </c>
      <c r="C232">
        <f>$C$7+($C$18*EXP(-(ROW()-152)/99*$C$16/$C$17*3)/1000)/$C$8</f>
        <v/>
      </c>
      <c r="D232">
        <f>$C$7+($C$18*EXP(-(ROW()-152)/99*$C$16/$C$17*3)/1000)/$C$8-($C$7*($C$11/($C$8+$C$11))+($C$18*EXP(-(ROW()-152)/99*$C$16/$C$17*3)/1000)/$C$11)</f>
        <v/>
      </c>
      <c r="E232">
        <f>$C$7+($C$18*EXP(-(ROW()-152)/99*$C$16/$C$17*3)/1000)/$C$8</f>
        <v/>
      </c>
      <c r="G232">
        <f>$H$18*(1-EXP(-$H$15/$H$17))*EXP(-(ROW()-152)/99*$H$16/$H$17*3)</f>
        <v/>
      </c>
      <c r="H232">
        <f>$H$6+($H$18*(1-EXP(-$H$15/$H$17))*EXP(-(ROW()-152)/99*$H$16/$H$17*3)/1000)/$H$7</f>
        <v/>
      </c>
      <c r="I232">
        <f>$H$6+($H$18*(1-EXP(-$H$15/$H$17))*EXP(-(ROW()-152)/99*$H$16/$H$17*3)/1000)/$H$7-($H$6*($H$10/($H$7+$H$10))+($H$18*(1-EXP(-$H$15/$H$17))*EXP(-(ROW()-152)/99*$H$16/$H$17*3)/1000)/$H$10)</f>
        <v/>
      </c>
      <c r="J232">
        <f>$H$6+($H$18*(1-EXP(-$H$15/$H$17))*EXP(-(ROW()-152)/99*$H$16/$H$17*3)/1000)/$H$7</f>
        <v/>
      </c>
    </row>
    <row r="233">
      <c r="B233">
        <f>$C$18*EXP(-(ROW()-152)/99*$C$16/$C$17*3)</f>
        <v/>
      </c>
      <c r="C233">
        <f>$C$7+($C$18*EXP(-(ROW()-152)/99*$C$16/$C$17*3)/1000)/$C$8</f>
        <v/>
      </c>
      <c r="D233">
        <f>$C$7+($C$18*EXP(-(ROW()-152)/99*$C$16/$C$17*3)/1000)/$C$8-($C$7*($C$11/($C$8+$C$11))+($C$18*EXP(-(ROW()-152)/99*$C$16/$C$17*3)/1000)/$C$11)</f>
        <v/>
      </c>
      <c r="E233">
        <f>$C$7+($C$18*EXP(-(ROW()-152)/99*$C$16/$C$17*3)/1000)/$C$8</f>
        <v/>
      </c>
      <c r="G233">
        <f>$H$18*(1-EXP(-$H$15/$H$17))*EXP(-(ROW()-152)/99*$H$16/$H$17*3)</f>
        <v/>
      </c>
      <c r="H233">
        <f>$H$6+($H$18*(1-EXP(-$H$15/$H$17))*EXP(-(ROW()-152)/99*$H$16/$H$17*3)/1000)/$H$7</f>
        <v/>
      </c>
      <c r="I233">
        <f>$H$6+($H$18*(1-EXP(-$H$15/$H$17))*EXP(-(ROW()-152)/99*$H$16/$H$17*3)/1000)/$H$7-($H$6*($H$10/($H$7+$H$10))+($H$18*(1-EXP(-$H$15/$H$17))*EXP(-(ROW()-152)/99*$H$16/$H$17*3)/1000)/$H$10)</f>
        <v/>
      </c>
      <c r="J233">
        <f>$H$6+($H$18*(1-EXP(-$H$15/$H$17))*EXP(-(ROW()-152)/99*$H$16/$H$17*3)/1000)/$H$7</f>
        <v/>
      </c>
    </row>
    <row r="234">
      <c r="B234">
        <f>$C$18*EXP(-(ROW()-152)/99*$C$16/$C$17*3)</f>
        <v/>
      </c>
      <c r="C234">
        <f>$C$7+($C$18*EXP(-(ROW()-152)/99*$C$16/$C$17*3)/1000)/$C$8</f>
        <v/>
      </c>
      <c r="D234">
        <f>$C$7+($C$18*EXP(-(ROW()-152)/99*$C$16/$C$17*3)/1000)/$C$8-($C$7*($C$11/($C$8+$C$11))+($C$18*EXP(-(ROW()-152)/99*$C$16/$C$17*3)/1000)/$C$11)</f>
        <v/>
      </c>
      <c r="E234">
        <f>$C$7+($C$18*EXP(-(ROW()-152)/99*$C$16/$C$17*3)/1000)/$C$8</f>
        <v/>
      </c>
      <c r="G234">
        <f>$H$18*(1-EXP(-$H$15/$H$17))*EXP(-(ROW()-152)/99*$H$16/$H$17*3)</f>
        <v/>
      </c>
      <c r="H234">
        <f>$H$6+($H$18*(1-EXP(-$H$15/$H$17))*EXP(-(ROW()-152)/99*$H$16/$H$17*3)/1000)/$H$7</f>
        <v/>
      </c>
      <c r="I234">
        <f>$H$6+($H$18*(1-EXP(-$H$15/$H$17))*EXP(-(ROW()-152)/99*$H$16/$H$17*3)/1000)/$H$7-($H$6*($H$10/($H$7+$H$10))+($H$18*(1-EXP(-$H$15/$H$17))*EXP(-(ROW()-152)/99*$H$16/$H$17*3)/1000)/$H$10)</f>
        <v/>
      </c>
      <c r="J234">
        <f>$H$6+($H$18*(1-EXP(-$H$15/$H$17))*EXP(-(ROW()-152)/99*$H$16/$H$17*3)/1000)/$H$7</f>
        <v/>
      </c>
    </row>
    <row r="235">
      <c r="B235">
        <f>$C$18*EXP(-(ROW()-152)/99*$C$16/$C$17*3)</f>
        <v/>
      </c>
      <c r="C235">
        <f>$C$7+($C$18*EXP(-(ROW()-152)/99*$C$16/$C$17*3)/1000)/$C$8</f>
        <v/>
      </c>
      <c r="D235">
        <f>$C$7+($C$18*EXP(-(ROW()-152)/99*$C$16/$C$17*3)/1000)/$C$8-($C$7*($C$11/($C$8+$C$11))+($C$18*EXP(-(ROW()-152)/99*$C$16/$C$17*3)/1000)/$C$11)</f>
        <v/>
      </c>
      <c r="E235">
        <f>$C$7+($C$18*EXP(-(ROW()-152)/99*$C$16/$C$17*3)/1000)/$C$8</f>
        <v/>
      </c>
      <c r="G235">
        <f>$H$18*(1-EXP(-$H$15/$H$17))*EXP(-(ROW()-152)/99*$H$16/$H$17*3)</f>
        <v/>
      </c>
      <c r="H235">
        <f>$H$6+($H$18*(1-EXP(-$H$15/$H$17))*EXP(-(ROW()-152)/99*$H$16/$H$17*3)/1000)/$H$7</f>
        <v/>
      </c>
      <c r="I235">
        <f>$H$6+($H$18*(1-EXP(-$H$15/$H$17))*EXP(-(ROW()-152)/99*$H$16/$H$17*3)/1000)/$H$7-($H$6*($H$10/($H$7+$H$10))+($H$18*(1-EXP(-$H$15/$H$17))*EXP(-(ROW()-152)/99*$H$16/$H$17*3)/1000)/$H$10)</f>
        <v/>
      </c>
      <c r="J235">
        <f>$H$6+($H$18*(1-EXP(-$H$15/$H$17))*EXP(-(ROW()-152)/99*$H$16/$H$17*3)/1000)/$H$7</f>
        <v/>
      </c>
    </row>
    <row r="236">
      <c r="B236">
        <f>$C$18*EXP(-(ROW()-152)/99*$C$16/$C$17*3)</f>
        <v/>
      </c>
      <c r="C236">
        <f>$C$7+($C$18*EXP(-(ROW()-152)/99*$C$16/$C$17*3)/1000)/$C$8</f>
        <v/>
      </c>
      <c r="D236">
        <f>$C$7+($C$18*EXP(-(ROW()-152)/99*$C$16/$C$17*3)/1000)/$C$8-($C$7*($C$11/($C$8+$C$11))+($C$18*EXP(-(ROW()-152)/99*$C$16/$C$17*3)/1000)/$C$11)</f>
        <v/>
      </c>
      <c r="E236">
        <f>$C$7+($C$18*EXP(-(ROW()-152)/99*$C$16/$C$17*3)/1000)/$C$8</f>
        <v/>
      </c>
      <c r="G236">
        <f>$H$18*(1-EXP(-$H$15/$H$17))*EXP(-(ROW()-152)/99*$H$16/$H$17*3)</f>
        <v/>
      </c>
      <c r="H236">
        <f>$H$6+($H$18*(1-EXP(-$H$15/$H$17))*EXP(-(ROW()-152)/99*$H$16/$H$17*3)/1000)/$H$7</f>
        <v/>
      </c>
      <c r="I236">
        <f>$H$6+($H$18*(1-EXP(-$H$15/$H$17))*EXP(-(ROW()-152)/99*$H$16/$H$17*3)/1000)/$H$7-($H$6*($H$10/($H$7+$H$10))+($H$18*(1-EXP(-$H$15/$H$17))*EXP(-(ROW()-152)/99*$H$16/$H$17*3)/1000)/$H$10)</f>
        <v/>
      </c>
      <c r="J236">
        <f>$H$6+($H$18*(1-EXP(-$H$15/$H$17))*EXP(-(ROW()-152)/99*$H$16/$H$17*3)/1000)/$H$7</f>
        <v/>
      </c>
    </row>
    <row r="237">
      <c r="B237">
        <f>$C$18*EXP(-(ROW()-152)/99*$C$16/$C$17*3)</f>
        <v/>
      </c>
      <c r="C237">
        <f>$C$7+($C$18*EXP(-(ROW()-152)/99*$C$16/$C$17*3)/1000)/$C$8</f>
        <v/>
      </c>
      <c r="D237">
        <f>$C$7+($C$18*EXP(-(ROW()-152)/99*$C$16/$C$17*3)/1000)/$C$8-($C$7*($C$11/($C$8+$C$11))+($C$18*EXP(-(ROW()-152)/99*$C$16/$C$17*3)/1000)/$C$11)</f>
        <v/>
      </c>
      <c r="E237">
        <f>$C$7+($C$18*EXP(-(ROW()-152)/99*$C$16/$C$17*3)/1000)/$C$8</f>
        <v/>
      </c>
      <c r="G237">
        <f>$H$18*(1-EXP(-$H$15/$H$17))*EXP(-(ROW()-152)/99*$H$16/$H$17*3)</f>
        <v/>
      </c>
      <c r="H237">
        <f>$H$6+($H$18*(1-EXP(-$H$15/$H$17))*EXP(-(ROW()-152)/99*$H$16/$H$17*3)/1000)/$H$7</f>
        <v/>
      </c>
      <c r="I237">
        <f>$H$6+($H$18*(1-EXP(-$H$15/$H$17))*EXP(-(ROW()-152)/99*$H$16/$H$17*3)/1000)/$H$7-($H$6*($H$10/($H$7+$H$10))+($H$18*(1-EXP(-$H$15/$H$17))*EXP(-(ROW()-152)/99*$H$16/$H$17*3)/1000)/$H$10)</f>
        <v/>
      </c>
      <c r="J237">
        <f>$H$6+($H$18*(1-EXP(-$H$15/$H$17))*EXP(-(ROW()-152)/99*$H$16/$H$17*3)/1000)/$H$7</f>
        <v/>
      </c>
    </row>
    <row r="238">
      <c r="B238">
        <f>$C$18*EXP(-(ROW()-152)/99*$C$16/$C$17*3)</f>
        <v/>
      </c>
      <c r="C238">
        <f>$C$7+($C$18*EXP(-(ROW()-152)/99*$C$16/$C$17*3)/1000)/$C$8</f>
        <v/>
      </c>
      <c r="D238">
        <f>$C$7+($C$18*EXP(-(ROW()-152)/99*$C$16/$C$17*3)/1000)/$C$8-($C$7*($C$11/($C$8+$C$11))+($C$18*EXP(-(ROW()-152)/99*$C$16/$C$17*3)/1000)/$C$11)</f>
        <v/>
      </c>
      <c r="E238">
        <f>$C$7+($C$18*EXP(-(ROW()-152)/99*$C$16/$C$17*3)/1000)/$C$8</f>
        <v/>
      </c>
      <c r="G238">
        <f>$H$18*(1-EXP(-$H$15/$H$17))*EXP(-(ROW()-152)/99*$H$16/$H$17*3)</f>
        <v/>
      </c>
      <c r="H238">
        <f>$H$6+($H$18*(1-EXP(-$H$15/$H$17))*EXP(-(ROW()-152)/99*$H$16/$H$17*3)/1000)/$H$7</f>
        <v/>
      </c>
      <c r="I238">
        <f>$H$6+($H$18*(1-EXP(-$H$15/$H$17))*EXP(-(ROW()-152)/99*$H$16/$H$17*3)/1000)/$H$7-($H$6*($H$10/($H$7+$H$10))+($H$18*(1-EXP(-$H$15/$H$17))*EXP(-(ROW()-152)/99*$H$16/$H$17*3)/1000)/$H$10)</f>
        <v/>
      </c>
      <c r="J238">
        <f>$H$6+($H$18*(1-EXP(-$H$15/$H$17))*EXP(-(ROW()-152)/99*$H$16/$H$17*3)/1000)/$H$7</f>
        <v/>
      </c>
    </row>
    <row r="239">
      <c r="B239">
        <f>$C$18*EXP(-(ROW()-152)/99*$C$16/$C$17*3)</f>
        <v/>
      </c>
      <c r="C239">
        <f>$C$7+($C$18*EXP(-(ROW()-152)/99*$C$16/$C$17*3)/1000)/$C$8</f>
        <v/>
      </c>
      <c r="D239">
        <f>$C$7+($C$18*EXP(-(ROW()-152)/99*$C$16/$C$17*3)/1000)/$C$8-($C$7*($C$11/($C$8+$C$11))+($C$18*EXP(-(ROW()-152)/99*$C$16/$C$17*3)/1000)/$C$11)</f>
        <v/>
      </c>
      <c r="E239">
        <f>$C$7+($C$18*EXP(-(ROW()-152)/99*$C$16/$C$17*3)/1000)/$C$8</f>
        <v/>
      </c>
      <c r="G239">
        <f>$H$18*(1-EXP(-$H$15/$H$17))*EXP(-(ROW()-152)/99*$H$16/$H$17*3)</f>
        <v/>
      </c>
      <c r="H239">
        <f>$H$6+($H$18*(1-EXP(-$H$15/$H$17))*EXP(-(ROW()-152)/99*$H$16/$H$17*3)/1000)/$H$7</f>
        <v/>
      </c>
      <c r="I239">
        <f>$H$6+($H$18*(1-EXP(-$H$15/$H$17))*EXP(-(ROW()-152)/99*$H$16/$H$17*3)/1000)/$H$7-($H$6*($H$10/($H$7+$H$10))+($H$18*(1-EXP(-$H$15/$H$17))*EXP(-(ROW()-152)/99*$H$16/$H$17*3)/1000)/$H$10)</f>
        <v/>
      </c>
      <c r="J239">
        <f>$H$6+($H$18*(1-EXP(-$H$15/$H$17))*EXP(-(ROW()-152)/99*$H$16/$H$17*3)/1000)/$H$7</f>
        <v/>
      </c>
    </row>
    <row r="240">
      <c r="B240">
        <f>$C$18*EXP(-(ROW()-152)/99*$C$16/$C$17*3)</f>
        <v/>
      </c>
      <c r="C240">
        <f>$C$7+($C$18*EXP(-(ROW()-152)/99*$C$16/$C$17*3)/1000)/$C$8</f>
        <v/>
      </c>
      <c r="D240">
        <f>$C$7+($C$18*EXP(-(ROW()-152)/99*$C$16/$C$17*3)/1000)/$C$8-($C$7*($C$11/($C$8+$C$11))+($C$18*EXP(-(ROW()-152)/99*$C$16/$C$17*3)/1000)/$C$11)</f>
        <v/>
      </c>
      <c r="E240">
        <f>$C$7+($C$18*EXP(-(ROW()-152)/99*$C$16/$C$17*3)/1000)/$C$8</f>
        <v/>
      </c>
      <c r="G240">
        <f>$H$18*(1-EXP(-$H$15/$H$17))*EXP(-(ROW()-152)/99*$H$16/$H$17*3)</f>
        <v/>
      </c>
      <c r="H240">
        <f>$H$6+($H$18*(1-EXP(-$H$15/$H$17))*EXP(-(ROW()-152)/99*$H$16/$H$17*3)/1000)/$H$7</f>
        <v/>
      </c>
      <c r="I240">
        <f>$H$6+($H$18*(1-EXP(-$H$15/$H$17))*EXP(-(ROW()-152)/99*$H$16/$H$17*3)/1000)/$H$7-($H$6*($H$10/($H$7+$H$10))+($H$18*(1-EXP(-$H$15/$H$17))*EXP(-(ROW()-152)/99*$H$16/$H$17*3)/1000)/$H$10)</f>
        <v/>
      </c>
      <c r="J240">
        <f>$H$6+($H$18*(1-EXP(-$H$15/$H$17))*EXP(-(ROW()-152)/99*$H$16/$H$17*3)/1000)/$H$7</f>
        <v/>
      </c>
    </row>
    <row r="241">
      <c r="B241">
        <f>$C$18*EXP(-(ROW()-152)/99*$C$16/$C$17*3)</f>
        <v/>
      </c>
      <c r="C241">
        <f>$C$7+($C$18*EXP(-(ROW()-152)/99*$C$16/$C$17*3)/1000)/$C$8</f>
        <v/>
      </c>
      <c r="D241">
        <f>$C$7+($C$18*EXP(-(ROW()-152)/99*$C$16/$C$17*3)/1000)/$C$8-($C$7*($C$11/($C$8+$C$11))+($C$18*EXP(-(ROW()-152)/99*$C$16/$C$17*3)/1000)/$C$11)</f>
        <v/>
      </c>
      <c r="E241">
        <f>$C$7+($C$18*EXP(-(ROW()-152)/99*$C$16/$C$17*3)/1000)/$C$8</f>
        <v/>
      </c>
      <c r="G241">
        <f>$H$18*(1-EXP(-$H$15/$H$17))*EXP(-(ROW()-152)/99*$H$16/$H$17*3)</f>
        <v/>
      </c>
      <c r="H241">
        <f>$H$6+($H$18*(1-EXP(-$H$15/$H$17))*EXP(-(ROW()-152)/99*$H$16/$H$17*3)/1000)/$H$7</f>
        <v/>
      </c>
      <c r="I241">
        <f>$H$6+($H$18*(1-EXP(-$H$15/$H$17))*EXP(-(ROW()-152)/99*$H$16/$H$17*3)/1000)/$H$7-($H$6*($H$10/($H$7+$H$10))+($H$18*(1-EXP(-$H$15/$H$17))*EXP(-(ROW()-152)/99*$H$16/$H$17*3)/1000)/$H$10)</f>
        <v/>
      </c>
      <c r="J241">
        <f>$H$6+($H$18*(1-EXP(-$H$15/$H$17))*EXP(-(ROW()-152)/99*$H$16/$H$17*3)/1000)/$H$7</f>
        <v/>
      </c>
    </row>
    <row r="242">
      <c r="B242">
        <f>$C$18*EXP(-(ROW()-152)/99*$C$16/$C$17*3)</f>
        <v/>
      </c>
      <c r="C242">
        <f>$C$7+($C$18*EXP(-(ROW()-152)/99*$C$16/$C$17*3)/1000)/$C$8</f>
        <v/>
      </c>
      <c r="D242">
        <f>$C$7+($C$18*EXP(-(ROW()-152)/99*$C$16/$C$17*3)/1000)/$C$8-($C$7*($C$11/($C$8+$C$11))+($C$18*EXP(-(ROW()-152)/99*$C$16/$C$17*3)/1000)/$C$11)</f>
        <v/>
      </c>
      <c r="E242">
        <f>$C$7+($C$18*EXP(-(ROW()-152)/99*$C$16/$C$17*3)/1000)/$C$8</f>
        <v/>
      </c>
      <c r="G242">
        <f>$H$18*(1-EXP(-$H$15/$H$17))*EXP(-(ROW()-152)/99*$H$16/$H$17*3)</f>
        <v/>
      </c>
      <c r="H242">
        <f>$H$6+($H$18*(1-EXP(-$H$15/$H$17))*EXP(-(ROW()-152)/99*$H$16/$H$17*3)/1000)/$H$7</f>
        <v/>
      </c>
      <c r="I242">
        <f>$H$6+($H$18*(1-EXP(-$H$15/$H$17))*EXP(-(ROW()-152)/99*$H$16/$H$17*3)/1000)/$H$7-($H$6*($H$10/($H$7+$H$10))+($H$18*(1-EXP(-$H$15/$H$17))*EXP(-(ROW()-152)/99*$H$16/$H$17*3)/1000)/$H$10)</f>
        <v/>
      </c>
      <c r="J242">
        <f>$H$6+($H$18*(1-EXP(-$H$15/$H$17))*EXP(-(ROW()-152)/99*$H$16/$H$17*3)/1000)/$H$7</f>
        <v/>
      </c>
    </row>
    <row r="243">
      <c r="B243">
        <f>$C$18*EXP(-(ROW()-152)/99*$C$16/$C$17*3)</f>
        <v/>
      </c>
      <c r="C243">
        <f>$C$7+($C$18*EXP(-(ROW()-152)/99*$C$16/$C$17*3)/1000)/$C$8</f>
        <v/>
      </c>
      <c r="D243">
        <f>$C$7+($C$18*EXP(-(ROW()-152)/99*$C$16/$C$17*3)/1000)/$C$8-($C$7*($C$11/($C$8+$C$11))+($C$18*EXP(-(ROW()-152)/99*$C$16/$C$17*3)/1000)/$C$11)</f>
        <v/>
      </c>
      <c r="E243">
        <f>$C$7+($C$18*EXP(-(ROW()-152)/99*$C$16/$C$17*3)/1000)/$C$8</f>
        <v/>
      </c>
      <c r="G243">
        <f>$H$18*(1-EXP(-$H$15/$H$17))*EXP(-(ROW()-152)/99*$H$16/$H$17*3)</f>
        <v/>
      </c>
      <c r="H243">
        <f>$H$6+($H$18*(1-EXP(-$H$15/$H$17))*EXP(-(ROW()-152)/99*$H$16/$H$17*3)/1000)/$H$7</f>
        <v/>
      </c>
      <c r="I243">
        <f>$H$6+($H$18*(1-EXP(-$H$15/$H$17))*EXP(-(ROW()-152)/99*$H$16/$H$17*3)/1000)/$H$7-($H$6*($H$10/($H$7+$H$10))+($H$18*(1-EXP(-$H$15/$H$17))*EXP(-(ROW()-152)/99*$H$16/$H$17*3)/1000)/$H$10)</f>
        <v/>
      </c>
      <c r="J243">
        <f>$H$6+($H$18*(1-EXP(-$H$15/$H$17))*EXP(-(ROW()-152)/99*$H$16/$H$17*3)/1000)/$H$7</f>
        <v/>
      </c>
    </row>
    <row r="244">
      <c r="B244">
        <f>$C$18*EXP(-(ROW()-152)/99*$C$16/$C$17*3)</f>
        <v/>
      </c>
      <c r="C244">
        <f>$C$7+($C$18*EXP(-(ROW()-152)/99*$C$16/$C$17*3)/1000)/$C$8</f>
        <v/>
      </c>
      <c r="D244">
        <f>$C$7+($C$18*EXP(-(ROW()-152)/99*$C$16/$C$17*3)/1000)/$C$8-($C$7*($C$11/($C$8+$C$11))+($C$18*EXP(-(ROW()-152)/99*$C$16/$C$17*3)/1000)/$C$11)</f>
        <v/>
      </c>
      <c r="E244">
        <f>$C$7+($C$18*EXP(-(ROW()-152)/99*$C$16/$C$17*3)/1000)/$C$8</f>
        <v/>
      </c>
      <c r="G244">
        <f>$H$18*(1-EXP(-$H$15/$H$17))*EXP(-(ROW()-152)/99*$H$16/$H$17*3)</f>
        <v/>
      </c>
      <c r="H244">
        <f>$H$6+($H$18*(1-EXP(-$H$15/$H$17))*EXP(-(ROW()-152)/99*$H$16/$H$17*3)/1000)/$H$7</f>
        <v/>
      </c>
      <c r="I244">
        <f>$H$6+($H$18*(1-EXP(-$H$15/$H$17))*EXP(-(ROW()-152)/99*$H$16/$H$17*3)/1000)/$H$7-($H$6*($H$10/($H$7+$H$10))+($H$18*(1-EXP(-$H$15/$H$17))*EXP(-(ROW()-152)/99*$H$16/$H$17*3)/1000)/$H$10)</f>
        <v/>
      </c>
      <c r="J244">
        <f>$H$6+($H$18*(1-EXP(-$H$15/$H$17))*EXP(-(ROW()-152)/99*$H$16/$H$17*3)/1000)/$H$7</f>
        <v/>
      </c>
    </row>
    <row r="245">
      <c r="B245">
        <f>$C$18*EXP(-(ROW()-152)/99*$C$16/$C$17*3)</f>
        <v/>
      </c>
      <c r="C245">
        <f>$C$7+($C$18*EXP(-(ROW()-152)/99*$C$16/$C$17*3)/1000)/$C$8</f>
        <v/>
      </c>
      <c r="D245">
        <f>$C$7+($C$18*EXP(-(ROW()-152)/99*$C$16/$C$17*3)/1000)/$C$8-($C$7*($C$11/($C$8+$C$11))+($C$18*EXP(-(ROW()-152)/99*$C$16/$C$17*3)/1000)/$C$11)</f>
        <v/>
      </c>
      <c r="E245">
        <f>$C$7+($C$18*EXP(-(ROW()-152)/99*$C$16/$C$17*3)/1000)/$C$8</f>
        <v/>
      </c>
      <c r="G245">
        <f>$H$18*(1-EXP(-$H$15/$H$17))*EXP(-(ROW()-152)/99*$H$16/$H$17*3)</f>
        <v/>
      </c>
      <c r="H245">
        <f>$H$6+($H$18*(1-EXP(-$H$15/$H$17))*EXP(-(ROW()-152)/99*$H$16/$H$17*3)/1000)/$H$7</f>
        <v/>
      </c>
      <c r="I245">
        <f>$H$6+($H$18*(1-EXP(-$H$15/$H$17))*EXP(-(ROW()-152)/99*$H$16/$H$17*3)/1000)/$H$7-($H$6*($H$10/($H$7+$H$10))+($H$18*(1-EXP(-$H$15/$H$17))*EXP(-(ROW()-152)/99*$H$16/$H$17*3)/1000)/$H$10)</f>
        <v/>
      </c>
      <c r="J245">
        <f>$H$6+($H$18*(1-EXP(-$H$15/$H$17))*EXP(-(ROW()-152)/99*$H$16/$H$17*3)/1000)/$H$7</f>
        <v/>
      </c>
    </row>
    <row r="246">
      <c r="B246">
        <f>$C$18*EXP(-(ROW()-152)/99*$C$16/$C$17*3)</f>
        <v/>
      </c>
      <c r="C246">
        <f>$C$7+($C$18*EXP(-(ROW()-152)/99*$C$16/$C$17*3)/1000)/$C$8</f>
        <v/>
      </c>
      <c r="D246">
        <f>$C$7+($C$18*EXP(-(ROW()-152)/99*$C$16/$C$17*3)/1000)/$C$8-($C$7*($C$11/($C$8+$C$11))+($C$18*EXP(-(ROW()-152)/99*$C$16/$C$17*3)/1000)/$C$11)</f>
        <v/>
      </c>
      <c r="E246">
        <f>$C$7+($C$18*EXP(-(ROW()-152)/99*$C$16/$C$17*3)/1000)/$C$8</f>
        <v/>
      </c>
      <c r="G246">
        <f>$H$18*(1-EXP(-$H$15/$H$17))*EXP(-(ROW()-152)/99*$H$16/$H$17*3)</f>
        <v/>
      </c>
      <c r="H246">
        <f>$H$6+($H$18*(1-EXP(-$H$15/$H$17))*EXP(-(ROW()-152)/99*$H$16/$H$17*3)/1000)/$H$7</f>
        <v/>
      </c>
      <c r="I246">
        <f>$H$6+($H$18*(1-EXP(-$H$15/$H$17))*EXP(-(ROW()-152)/99*$H$16/$H$17*3)/1000)/$H$7-($H$6*($H$10/($H$7+$H$10))+($H$18*(1-EXP(-$H$15/$H$17))*EXP(-(ROW()-152)/99*$H$16/$H$17*3)/1000)/$H$10)</f>
        <v/>
      </c>
      <c r="J246">
        <f>$H$6+($H$18*(1-EXP(-$H$15/$H$17))*EXP(-(ROW()-152)/99*$H$16/$H$17*3)/1000)/$H$7</f>
        <v/>
      </c>
    </row>
    <row r="247">
      <c r="B247">
        <f>$C$18*EXP(-(ROW()-152)/99*$C$16/$C$17*3)</f>
        <v/>
      </c>
      <c r="C247">
        <f>$C$7+($C$18*EXP(-(ROW()-152)/99*$C$16/$C$17*3)/1000)/$C$8</f>
        <v/>
      </c>
      <c r="D247">
        <f>$C$7+($C$18*EXP(-(ROW()-152)/99*$C$16/$C$17*3)/1000)/$C$8-($C$7*($C$11/($C$8+$C$11))+($C$18*EXP(-(ROW()-152)/99*$C$16/$C$17*3)/1000)/$C$11)</f>
        <v/>
      </c>
      <c r="E247">
        <f>$C$7+($C$18*EXP(-(ROW()-152)/99*$C$16/$C$17*3)/1000)/$C$8</f>
        <v/>
      </c>
      <c r="G247">
        <f>$H$18*(1-EXP(-$H$15/$H$17))*EXP(-(ROW()-152)/99*$H$16/$H$17*3)</f>
        <v/>
      </c>
      <c r="H247">
        <f>$H$6+($H$18*(1-EXP(-$H$15/$H$17))*EXP(-(ROW()-152)/99*$H$16/$H$17*3)/1000)/$H$7</f>
        <v/>
      </c>
      <c r="I247">
        <f>$H$6+($H$18*(1-EXP(-$H$15/$H$17))*EXP(-(ROW()-152)/99*$H$16/$H$17*3)/1000)/$H$7-($H$6*($H$10/($H$7+$H$10))+($H$18*(1-EXP(-$H$15/$H$17))*EXP(-(ROW()-152)/99*$H$16/$H$17*3)/1000)/$H$10)</f>
        <v/>
      </c>
      <c r="J247">
        <f>$H$6+($H$18*(1-EXP(-$H$15/$H$17))*EXP(-(ROW()-152)/99*$H$16/$H$17*3)/1000)/$H$7</f>
        <v/>
      </c>
    </row>
    <row r="248">
      <c r="B248">
        <f>$C$18*EXP(-(ROW()-152)/99*$C$16/$C$17*3)</f>
        <v/>
      </c>
      <c r="C248">
        <f>$C$7+($C$18*EXP(-(ROW()-152)/99*$C$16/$C$17*3)/1000)/$C$8</f>
        <v/>
      </c>
      <c r="D248">
        <f>$C$7+($C$18*EXP(-(ROW()-152)/99*$C$16/$C$17*3)/1000)/$C$8-($C$7*($C$11/($C$8+$C$11))+($C$18*EXP(-(ROW()-152)/99*$C$16/$C$17*3)/1000)/$C$11)</f>
        <v/>
      </c>
      <c r="E248">
        <f>$C$7+($C$18*EXP(-(ROW()-152)/99*$C$16/$C$17*3)/1000)/$C$8</f>
        <v/>
      </c>
      <c r="G248">
        <f>$H$18*(1-EXP(-$H$15/$H$17))*EXP(-(ROW()-152)/99*$H$16/$H$17*3)</f>
        <v/>
      </c>
      <c r="H248">
        <f>$H$6+($H$18*(1-EXP(-$H$15/$H$17))*EXP(-(ROW()-152)/99*$H$16/$H$17*3)/1000)/$H$7</f>
        <v/>
      </c>
      <c r="I248">
        <f>$H$6+($H$18*(1-EXP(-$H$15/$H$17))*EXP(-(ROW()-152)/99*$H$16/$H$17*3)/1000)/$H$7-($H$6*($H$10/($H$7+$H$10))+($H$18*(1-EXP(-$H$15/$H$17))*EXP(-(ROW()-152)/99*$H$16/$H$17*3)/1000)/$H$10)</f>
        <v/>
      </c>
      <c r="J248">
        <f>$H$6+($H$18*(1-EXP(-$H$15/$H$17))*EXP(-(ROW()-152)/99*$H$16/$H$17*3)/1000)/$H$7</f>
        <v/>
      </c>
    </row>
    <row r="249">
      <c r="B249">
        <f>$C$18*EXP(-(ROW()-152)/99*$C$16/$C$17*3)</f>
        <v/>
      </c>
      <c r="C249">
        <f>$C$7+($C$18*EXP(-(ROW()-152)/99*$C$16/$C$17*3)/1000)/$C$8</f>
        <v/>
      </c>
      <c r="D249">
        <f>$C$7+($C$18*EXP(-(ROW()-152)/99*$C$16/$C$17*3)/1000)/$C$8-($C$7*($C$11/($C$8+$C$11))+($C$18*EXP(-(ROW()-152)/99*$C$16/$C$17*3)/1000)/$C$11)</f>
        <v/>
      </c>
      <c r="E249">
        <f>$C$7+($C$18*EXP(-(ROW()-152)/99*$C$16/$C$17*3)/1000)/$C$8</f>
        <v/>
      </c>
      <c r="G249">
        <f>$H$18*(1-EXP(-$H$15/$H$17))*EXP(-(ROW()-152)/99*$H$16/$H$17*3)</f>
        <v/>
      </c>
      <c r="H249">
        <f>$H$6+($H$18*(1-EXP(-$H$15/$H$17))*EXP(-(ROW()-152)/99*$H$16/$H$17*3)/1000)/$H$7</f>
        <v/>
      </c>
      <c r="I249">
        <f>$H$6+($H$18*(1-EXP(-$H$15/$H$17))*EXP(-(ROW()-152)/99*$H$16/$H$17*3)/1000)/$H$7-($H$6*($H$10/($H$7+$H$10))+($H$18*(1-EXP(-$H$15/$H$17))*EXP(-(ROW()-152)/99*$H$16/$H$17*3)/1000)/$H$10)</f>
        <v/>
      </c>
      <c r="J249">
        <f>$H$6+($H$18*(1-EXP(-$H$15/$H$17))*EXP(-(ROW()-152)/99*$H$16/$H$17*3)/1000)/$H$7</f>
        <v/>
      </c>
    </row>
    <row r="250">
      <c r="B250">
        <f>$C$18*EXP(-(ROW()-152)/99*$C$16/$C$17*3)</f>
        <v/>
      </c>
      <c r="C250">
        <f>$C$7+($C$18*EXP(-(ROW()-152)/99*$C$16/$C$17*3)/1000)/$C$8</f>
        <v/>
      </c>
      <c r="D250">
        <f>$C$7+($C$18*EXP(-(ROW()-152)/99*$C$16/$C$17*3)/1000)/$C$8-($C$7*($C$11/($C$8+$C$11))+($C$18*EXP(-(ROW()-152)/99*$C$16/$C$17*3)/1000)/$C$11)</f>
        <v/>
      </c>
      <c r="E250">
        <f>$C$7+($C$18*EXP(-(ROW()-152)/99*$C$16/$C$17*3)/1000)/$C$8</f>
        <v/>
      </c>
      <c r="G250">
        <f>$H$18*(1-EXP(-$H$15/$H$17))*EXP(-(ROW()-152)/99*$H$16/$H$17*3)</f>
        <v/>
      </c>
      <c r="H250">
        <f>$H$6+($H$18*(1-EXP(-$H$15/$H$17))*EXP(-(ROW()-152)/99*$H$16/$H$17*3)/1000)/$H$7</f>
        <v/>
      </c>
      <c r="I250">
        <f>$H$6+($H$18*(1-EXP(-$H$15/$H$17))*EXP(-(ROW()-152)/99*$H$16/$H$17*3)/1000)/$H$7-($H$6*($H$10/($H$7+$H$10))+($H$18*(1-EXP(-$H$15/$H$17))*EXP(-(ROW()-152)/99*$H$16/$H$17*3)/1000)/$H$10)</f>
        <v/>
      </c>
      <c r="J250">
        <f>$H$6+($H$18*(1-EXP(-$H$15/$H$17))*EXP(-(ROW()-152)/99*$H$16/$H$17*3)/1000)/$H$7</f>
        <v/>
      </c>
    </row>
    <row r="251">
      <c r="B251">
        <f>$C$18*EXP(-(ROW()-152)/99*$C$16/$C$17*3)</f>
        <v/>
      </c>
      <c r="C251">
        <f>$C$7+($C$18*EXP(-(ROW()-152)/99*$C$16/$C$17*3)/1000)/$C$8</f>
        <v/>
      </c>
      <c r="D251">
        <f>$C$7+($C$18*EXP(-(ROW()-152)/99*$C$16/$C$17*3)/1000)/$C$8-($C$7*($C$11/($C$8+$C$11))+($C$18*EXP(-(ROW()-152)/99*$C$16/$C$17*3)/1000)/$C$11)</f>
        <v/>
      </c>
      <c r="E251">
        <f>$C$7+($C$18*EXP(-(ROW()-152)/99*$C$16/$C$17*3)/1000)/$C$8</f>
        <v/>
      </c>
      <c r="G251">
        <f>$H$18*(1-EXP(-$H$15/$H$17))*EXP(-(ROW()-152)/99*$H$16/$H$17*3)</f>
        <v/>
      </c>
      <c r="H251">
        <f>$H$6+($H$18*(1-EXP(-$H$15/$H$17))*EXP(-(ROW()-152)/99*$H$16/$H$17*3)/1000)/$H$7</f>
        <v/>
      </c>
      <c r="I251">
        <f>$H$6+($H$18*(1-EXP(-$H$15/$H$17))*EXP(-(ROW()-152)/99*$H$16/$H$17*3)/1000)/$H$7-($H$6*($H$10/($H$7+$H$10))+($H$18*(1-EXP(-$H$15/$H$17))*EXP(-(ROW()-152)/99*$H$16/$H$17*3)/1000)/$H$10)</f>
        <v/>
      </c>
      <c r="J251">
        <f>$H$6+($H$18*(1-EXP(-$H$15/$H$17))*EXP(-(ROW()-152)/99*$H$16/$H$17*3)/1000)/$H$7</f>
        <v/>
      </c>
    </row>
    <row r="252">
      <c r="B252">
        <f>B52</f>
        <v/>
      </c>
      <c r="C252">
        <f>C52</f>
        <v/>
      </c>
      <c r="D252">
        <f>D52</f>
        <v/>
      </c>
      <c r="E252">
        <f>E52</f>
        <v/>
      </c>
      <c r="G252">
        <f>G52</f>
        <v/>
      </c>
      <c r="H252">
        <f>H52</f>
        <v/>
      </c>
      <c r="I252">
        <f>I52</f>
        <v/>
      </c>
      <c r="J252">
        <f>J52</f>
        <v/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17">
    <mergeCell ref="G13:J13"/>
    <mergeCell ref="G22:J22"/>
    <mergeCell ref="B36:E36"/>
    <mergeCell ref="G3:J3"/>
    <mergeCell ref="B50:E50"/>
    <mergeCell ref="B43:E43"/>
    <mergeCell ref="B13:E13"/>
    <mergeCell ref="B21:E21"/>
    <mergeCell ref="B29:E29"/>
    <mergeCell ref="G29:J29"/>
    <mergeCell ref="B1:J1"/>
    <mergeCell ref="G21:J21"/>
    <mergeCell ref="B3:E3"/>
    <mergeCell ref="G36:J36"/>
    <mergeCell ref="G50:J50"/>
    <mergeCell ref="B22:E22"/>
    <mergeCell ref="B2:J2"/>
  </mergeCells>
  <pageMargins left="0.75" right="0.75" top="1" bottom="1" header="0.5" footer="0.5"/>
  <drawing xmlns:r="http://schemas.openxmlformats.org/officeDocument/2006/relationships" r:id="rId1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1:E72"/>
  <sheetViews>
    <sheetView showGridLines="0" workbookViewId="0">
      <selection activeCell="H1" sqref="H1"/>
    </sheetView>
  </sheetViews>
  <sheetFormatPr baseColWidth="8" defaultRowHeight="15"/>
  <cols>
    <col width="2" customWidth="1" style="44" min="1" max="1"/>
    <col width="32" customWidth="1" style="44" min="2" max="2"/>
    <col width="36" customWidth="1" style="44" min="3" max="3"/>
    <col width="14" customWidth="1" style="44" min="4" max="4"/>
    <col width="40" customWidth="1" style="44" min="5" max="5"/>
    <col width="2" customWidth="1" style="44" min="6" max="6"/>
  </cols>
  <sheetData>
    <row r="1" ht="27.95" customHeight="1" s="44">
      <c r="B1" s="48" t="inlineStr">
        <is>
          <t xml:space="preserve">  RESPIRATORY MECHANICS CALCULATIONS — Bedside Reference</t>
        </is>
      </c>
    </row>
    <row r="2" ht="18" customHeight="1" s="44">
      <c r="B2" s="49" t="inlineStr">
        <is>
          <t>How to measure Compliance, Resistance, and Time Constant at the bedside</t>
        </is>
      </c>
    </row>
    <row r="3" ht="24" customHeight="1" s="44">
      <c r="B3" s="61" t="inlineStr">
        <is>
          <t>1.  TOTAL RESPIRATORY SYSTEM COMPLIANCE  (C_rs)</t>
        </is>
      </c>
    </row>
    <row r="4" ht="18" customHeight="1" s="44">
      <c r="B4" s="37" t="inlineStr">
        <is>
          <t>Parameter/Step</t>
        </is>
      </c>
      <c r="C4" s="37" t="inlineStr">
        <is>
          <t>Formula / Value</t>
        </is>
      </c>
      <c r="D4" s="37" t="inlineStr">
        <is>
          <t>Unit</t>
        </is>
      </c>
      <c r="E4" s="37" t="inlineStr">
        <is>
          <t>Clinical Notes</t>
        </is>
      </c>
    </row>
    <row r="5" ht="21.95" customHeight="1" s="44">
      <c r="B5" s="15" t="inlineStr">
        <is>
          <t>Method</t>
        </is>
      </c>
      <c r="C5" s="15" t="inlineStr">
        <is>
          <t>Inspiratory hold (passive patient)</t>
        </is>
      </c>
      <c r="D5" s="38" t="n"/>
      <c r="E5" s="15" t="inlineStr">
        <is>
          <t>Requires no patient effort</t>
        </is>
      </c>
    </row>
    <row r="6" ht="21.95" customHeight="1" s="44">
      <c r="B6" s="39" t="inlineStr">
        <is>
          <t>Step 1</t>
        </is>
      </c>
      <c r="C6" s="39" t="inlineStr">
        <is>
          <t>Set VCV with constant flow, note Vt (mL)</t>
        </is>
      </c>
      <c r="D6" s="40" t="inlineStr">
        <is>
          <t>mL</t>
        </is>
      </c>
      <c r="E6" s="39" t="n"/>
    </row>
    <row r="7" ht="21.95" customHeight="1" s="44">
      <c r="B7" s="15" t="inlineStr">
        <is>
          <t>Step 2</t>
        </is>
      </c>
      <c r="C7" s="15" t="inlineStr">
        <is>
          <t>Apply 0.5–1 s end-inspiratory pause</t>
        </is>
      </c>
      <c r="D7" s="38" t="n"/>
      <c r="E7" s="15" t="inlineStr">
        <is>
          <t>Plateau pressure equilibrates</t>
        </is>
      </c>
    </row>
    <row r="8" ht="21.95" customHeight="1" s="44">
      <c r="B8" s="39" t="inlineStr">
        <is>
          <t>Step 3</t>
        </is>
      </c>
      <c r="C8" s="39" t="inlineStr">
        <is>
          <t>Read Pplat</t>
        </is>
      </c>
      <c r="D8" s="40" t="inlineStr">
        <is>
          <t>cmH2O</t>
        </is>
      </c>
      <c r="E8" s="39" t="inlineStr">
        <is>
          <t>From ventilator display</t>
        </is>
      </c>
    </row>
    <row r="9" ht="21.95" customHeight="1" s="44">
      <c r="B9" s="15" t="inlineStr">
        <is>
          <t>Step 4</t>
        </is>
      </c>
      <c r="C9" s="15" t="inlineStr">
        <is>
          <t>Read total PEEP (expiratory hold)</t>
        </is>
      </c>
      <c r="D9" s="38" t="inlineStr">
        <is>
          <t>cmH2O</t>
        </is>
      </c>
      <c r="E9" s="15" t="inlineStr">
        <is>
          <t>Includes auto-PEEP</t>
        </is>
      </c>
    </row>
    <row r="10" ht="21.95" customHeight="1" s="44">
      <c r="B10" s="39" t="inlineStr">
        <is>
          <t>FORMULA</t>
        </is>
      </c>
      <c r="C10" s="39" t="inlineStr">
        <is>
          <t>C_rs = Vt(mL) / (Pplat − PEEP)</t>
        </is>
      </c>
      <c r="D10" s="40" t="inlineStr">
        <is>
          <t>mL/cmH2O</t>
        </is>
      </c>
      <c r="E10" s="39" t="inlineStr">
        <is>
          <t>Normal: 60–100  |  ARDS: 10–40</t>
        </is>
      </c>
    </row>
    <row r="11" ht="21.95" customHeight="1" s="44">
      <c r="B11" s="15" t="inlineStr">
        <is>
          <t>Example</t>
        </is>
      </c>
      <c r="C11" s="15" t="inlineStr">
        <is>
          <t>Vt=500 mL, Pplat=25, PEEP=5 → C_rs=25 mL/cmH2O</t>
        </is>
      </c>
      <c r="D11" s="38" t="n"/>
      <c r="E11" s="15" t="inlineStr">
        <is>
          <t>Moderate ARDS</t>
        </is>
      </c>
    </row>
    <row r="12" ht="21.95" customHeight="1" s="44">
      <c r="B12" s="39" t="inlineStr">
        <is>
          <t>Driving Pressure</t>
        </is>
      </c>
      <c r="C12" s="39" t="inlineStr">
        <is>
          <t>ΔP = Pplat − PEEP = Vt/C_rs</t>
        </is>
      </c>
      <c r="D12" s="40" t="inlineStr">
        <is>
          <t>cmH2O</t>
        </is>
      </c>
      <c r="E12" s="39" t="inlineStr">
        <is>
          <t>Target &lt;13 cmH2O</t>
        </is>
      </c>
    </row>
    <row r="14" ht="24" customHeight="1" s="44">
      <c r="B14" s="71" t="inlineStr">
        <is>
          <t>2.  LUNG COMPLIANCE  (C_L)</t>
        </is>
      </c>
    </row>
    <row r="15" ht="18" customHeight="1" s="44">
      <c r="B15" s="37" t="inlineStr">
        <is>
          <t>Parameter/Step</t>
        </is>
      </c>
      <c r="C15" s="37" t="inlineStr">
        <is>
          <t>Formula / Value</t>
        </is>
      </c>
      <c r="D15" s="37" t="inlineStr">
        <is>
          <t>Unit</t>
        </is>
      </c>
      <c r="E15" s="37" t="inlineStr">
        <is>
          <t>Clinical Notes</t>
        </is>
      </c>
    </row>
    <row r="16" ht="21.95" customHeight="1" s="44">
      <c r="B16" s="15" t="inlineStr">
        <is>
          <t>Requires</t>
        </is>
      </c>
      <c r="C16" s="15" t="inlineStr">
        <is>
          <t>Esophageal manometry (Pes catheter)</t>
        </is>
      </c>
      <c r="D16" s="38" t="n"/>
      <c r="E16" s="15" t="inlineStr">
        <is>
          <t>Pes = surrogate for pleural pressure</t>
        </is>
      </c>
    </row>
    <row r="17" ht="21.95" customHeight="1" s="44">
      <c r="B17" s="39" t="inlineStr">
        <is>
          <t>Formula</t>
        </is>
      </c>
      <c r="C17" s="39" t="inlineStr">
        <is>
          <t>C_L = Vt(mL) / (PL_insp − PL_exp)</t>
        </is>
      </c>
      <c r="D17" s="40" t="inlineStr">
        <is>
          <t>mL/cmH2O</t>
        </is>
      </c>
      <c r="E17" s="39" t="inlineStr">
        <is>
          <t>Change in transpulmonary pressure</t>
        </is>
      </c>
    </row>
    <row r="18" ht="21.95" customHeight="1" s="44">
      <c r="B18" s="15" t="inlineStr">
        <is>
          <t>PL_insp</t>
        </is>
      </c>
      <c r="C18" s="15" t="inlineStr">
        <is>
          <t>PL_insp = Pplat − Pes_insp</t>
        </is>
      </c>
      <c r="D18" s="38" t="inlineStr">
        <is>
          <t>cmH2O</t>
        </is>
      </c>
      <c r="E18" s="15" t="inlineStr">
        <is>
          <t>End-inspiratory transpulmonary P</t>
        </is>
      </c>
    </row>
    <row r="19" ht="21.95" customHeight="1" s="44">
      <c r="B19" s="39" t="inlineStr">
        <is>
          <t>PL_exp</t>
        </is>
      </c>
      <c r="C19" s="39" t="inlineStr">
        <is>
          <t>PL_exp = PEEP − Pes_exp</t>
        </is>
      </c>
      <c r="D19" s="40" t="inlineStr">
        <is>
          <t>cmH2O</t>
        </is>
      </c>
      <c r="E19" s="39" t="inlineStr">
        <is>
          <t>End-expiratory transpulmonary P</t>
        </is>
      </c>
    </row>
    <row r="20" ht="21.95" customHeight="1" s="44">
      <c r="B20" s="15" t="inlineStr">
        <is>
          <t>Normal</t>
        </is>
      </c>
      <c r="C20" s="15" t="inlineStr">
        <is>
          <t>C_L ≈ 150–200 mL/cmH2O</t>
        </is>
      </c>
      <c r="D20" s="38" t="n"/>
      <c r="E20" s="15" t="inlineStr">
        <is>
          <t>ARDS: 30–80 mL/cmH2O</t>
        </is>
      </c>
    </row>
    <row r="22" ht="24" customHeight="1" s="44">
      <c r="B22" s="70" t="inlineStr">
        <is>
          <t>3.  CHEST WALL COMPLIANCE  (C_cw)</t>
        </is>
      </c>
    </row>
    <row r="23" ht="18" customHeight="1" s="44">
      <c r="B23" s="37" t="inlineStr">
        <is>
          <t>Parameter/Step</t>
        </is>
      </c>
      <c r="C23" s="37" t="inlineStr">
        <is>
          <t>Formula / Value</t>
        </is>
      </c>
      <c r="D23" s="37" t="inlineStr">
        <is>
          <t>Unit</t>
        </is>
      </c>
      <c r="E23" s="37" t="inlineStr">
        <is>
          <t>Clinical Notes</t>
        </is>
      </c>
    </row>
    <row r="24" ht="21.95" customHeight="1" s="44">
      <c r="B24" s="15" t="inlineStr">
        <is>
          <t>Formula</t>
        </is>
      </c>
      <c r="C24" s="15" t="inlineStr">
        <is>
          <t>C_cw = Vt(mL) / ΔPes</t>
        </is>
      </c>
      <c r="D24" s="38" t="inlineStr">
        <is>
          <t>mL/cmH2O</t>
        </is>
      </c>
      <c r="E24" s="15" t="inlineStr">
        <is>
          <t>ΔPes = Pes_insp − Pes_exp (passive)</t>
        </is>
      </c>
    </row>
    <row r="25" ht="21.95" customHeight="1" s="44">
      <c r="B25" s="39" t="inlineStr">
        <is>
          <t>Series</t>
        </is>
      </c>
      <c r="C25" s="39" t="inlineStr">
        <is>
          <t>1/C_rs = 1/C_L + 1/C_cw</t>
        </is>
      </c>
      <c r="D25" s="40" t="n"/>
      <c r="E25" s="39" t="inlineStr">
        <is>
          <t>Lung + chest wall in series</t>
        </is>
      </c>
    </row>
    <row r="26" ht="21.95" customHeight="1" s="44">
      <c r="B26" s="15" t="inlineStr">
        <is>
          <t>Rearranged</t>
        </is>
      </c>
      <c r="C26" s="15" t="inlineStr">
        <is>
          <t>C_cw = (C_rs × C_L) / (C_L − C_rs)</t>
        </is>
      </c>
      <c r="D26" s="38" t="inlineStr">
        <is>
          <t>mL/cmH2O</t>
        </is>
      </c>
      <c r="E26" s="15" t="inlineStr">
        <is>
          <t>If C_rs and C_L known</t>
        </is>
      </c>
    </row>
    <row r="27" ht="21.95" customHeight="1" s="44">
      <c r="B27" s="39" t="inlineStr">
        <is>
          <t>Normal</t>
        </is>
      </c>
      <c r="C27" s="39" t="inlineStr">
        <is>
          <t>C_cw ≈ 200 mL/cmH2O</t>
        </is>
      </c>
      <c r="D27" s="40" t="n"/>
      <c r="E27" s="39" t="inlineStr">
        <is>
          <t>Reduced: obesity, ascites, edema</t>
        </is>
      </c>
    </row>
    <row r="29" ht="24" customHeight="1" s="44">
      <c r="B29" s="68" t="inlineStr">
        <is>
          <t>4.  AIRWAY RESISTANCE  (R_aw)</t>
        </is>
      </c>
    </row>
    <row r="30" ht="18" customHeight="1" s="44">
      <c r="B30" s="37" t="inlineStr">
        <is>
          <t>Parameter/Step</t>
        </is>
      </c>
      <c r="C30" s="37" t="inlineStr">
        <is>
          <t>Formula / Value</t>
        </is>
      </c>
      <c r="D30" s="37" t="inlineStr">
        <is>
          <t>Unit</t>
        </is>
      </c>
      <c r="E30" s="37" t="inlineStr">
        <is>
          <t>Clinical Notes</t>
        </is>
      </c>
    </row>
    <row r="31" ht="21.95" customHeight="1" s="44">
      <c r="B31" s="15" t="inlineStr">
        <is>
          <t>Method</t>
        </is>
      </c>
      <c r="C31" s="15" t="inlineStr">
        <is>
          <t>Inspiratory hold during constant-flow VCV</t>
        </is>
      </c>
      <c r="D31" s="38" t="n"/>
      <c r="E31" s="15" t="inlineStr">
        <is>
          <t>Passive patient required</t>
        </is>
      </c>
    </row>
    <row r="32" ht="21.95" customHeight="1" s="44">
      <c r="B32" s="39" t="inlineStr">
        <is>
          <t>FORMULA</t>
        </is>
      </c>
      <c r="C32" s="39" t="inlineStr">
        <is>
          <t>R_aw = (PIP − Pplat) / F</t>
        </is>
      </c>
      <c r="D32" s="40" t="inlineStr">
        <is>
          <t>cmH2O/L/s</t>
        </is>
      </c>
      <c r="E32" s="39" t="inlineStr">
        <is>
          <t>F in L/s</t>
        </is>
      </c>
    </row>
    <row r="33" ht="21.95" customHeight="1" s="44">
      <c r="B33" s="15" t="inlineStr">
        <is>
          <t>Example</t>
        </is>
      </c>
      <c r="C33" s="15" t="inlineStr">
        <is>
          <t>PIP=30, Pplat=25, F=0.5 → R_aw=10 cmH2O/L/s</t>
        </is>
      </c>
      <c r="D33" s="38" t="n"/>
      <c r="E33" s="15" t="inlineStr">
        <is>
          <t>Elevated (normal &lt;5)</t>
        </is>
      </c>
    </row>
    <row r="34" ht="21.95" customHeight="1" s="44">
      <c r="B34" s="39" t="inlineStr">
        <is>
          <t>Normal</t>
        </is>
      </c>
      <c r="C34" s="39" t="inlineStr">
        <is>
          <t>Intubated: 5–10  |  COPD: 10–20+</t>
        </is>
      </c>
      <c r="D34" s="40" t="inlineStr">
        <is>
          <t>cmH2O/L/s</t>
        </is>
      </c>
      <c r="E34" s="39" t="n"/>
    </row>
    <row r="36" ht="24" customHeight="1" s="44">
      <c r="B36" s="66" t="inlineStr">
        <is>
          <t>5.  TIME CONSTANT  (τ)</t>
        </is>
      </c>
    </row>
    <row r="37" ht="18" customHeight="1" s="44">
      <c r="B37" s="37" t="inlineStr">
        <is>
          <t>Parameter/Step</t>
        </is>
      </c>
      <c r="C37" s="37" t="inlineStr">
        <is>
          <t>Formula / Value</t>
        </is>
      </c>
      <c r="D37" s="37" t="inlineStr">
        <is>
          <t>Unit</t>
        </is>
      </c>
      <c r="E37" s="37" t="inlineStr">
        <is>
          <t>Clinical Notes</t>
        </is>
      </c>
    </row>
    <row r="38" ht="21.95" customHeight="1" s="44">
      <c r="B38" s="15" t="inlineStr">
        <is>
          <t>Formula</t>
        </is>
      </c>
      <c r="C38" s="15" t="inlineStr">
        <is>
          <t>τ = R × C</t>
        </is>
      </c>
      <c r="D38" s="38" t="inlineStr">
        <is>
          <t>s</t>
        </is>
      </c>
      <c r="E38" s="15" t="inlineStr">
        <is>
          <t>R in cmH2O/L/s, C in L/cmH2O</t>
        </is>
      </c>
    </row>
    <row r="39" ht="21.95" customHeight="1" s="44">
      <c r="B39" s="39" t="inlineStr">
        <is>
          <t>Normal</t>
        </is>
      </c>
      <c r="C39" s="39" t="inlineStr">
        <is>
          <t>τ ≈ 0.2–0.5 s</t>
        </is>
      </c>
      <c r="D39" s="40" t="inlineStr">
        <is>
          <t>s</t>
        </is>
      </c>
      <c r="E39" s="39" t="inlineStr">
        <is>
          <t>R=5 × C=0.05 = 0.25 s</t>
        </is>
      </c>
    </row>
    <row r="40" ht="21.95" customHeight="1" s="44">
      <c r="B40" s="15" t="inlineStr">
        <is>
          <t>Te target</t>
        </is>
      </c>
      <c r="C40" s="15" t="inlineStr">
        <is>
          <t>Te ≥ 3×τ for complete exhalation</t>
        </is>
      </c>
      <c r="D40" s="38" t="inlineStr">
        <is>
          <t>s</t>
        </is>
      </c>
      <c r="E40" s="15" t="inlineStr">
        <is>
          <t>3τ = 95% emptying</t>
        </is>
      </c>
    </row>
    <row r="41" ht="21.95" customHeight="1" s="44">
      <c r="B41" s="39" t="inlineStr">
        <is>
          <t>Auto-PEEP</t>
        </is>
      </c>
      <c r="C41" s="39" t="inlineStr">
        <is>
          <t>Te &lt; 3τ → gas trapping → auto-PEEP</t>
        </is>
      </c>
      <c r="D41" s="40" t="n"/>
      <c r="E41" s="39" t="inlineStr">
        <is>
          <t>Especially COPD, high RR</t>
        </is>
      </c>
    </row>
    <row r="43" ht="24" customHeight="1" s="44">
      <c r="B43" s="67" t="inlineStr">
        <is>
          <t>6.  WORK OF BREATHING  (WOB)</t>
        </is>
      </c>
    </row>
    <row r="44" ht="18" customHeight="1" s="44">
      <c r="B44" s="37" t="inlineStr">
        <is>
          <t>Parameter/Step</t>
        </is>
      </c>
      <c r="C44" s="37" t="inlineStr">
        <is>
          <t>Formula / Value</t>
        </is>
      </c>
      <c r="D44" s="37" t="inlineStr">
        <is>
          <t>Unit</t>
        </is>
      </c>
      <c r="E44" s="37" t="inlineStr">
        <is>
          <t>Clinical Notes</t>
        </is>
      </c>
    </row>
    <row r="45" ht="21.95" customHeight="1" s="44">
      <c r="B45" s="15" t="inlineStr">
        <is>
          <t>Definition</t>
        </is>
      </c>
      <c r="C45" s="15" t="inlineStr">
        <is>
          <t>WOB = ∫P dV</t>
        </is>
      </c>
      <c r="D45" s="38" t="inlineStr">
        <is>
          <t>J</t>
        </is>
      </c>
      <c r="E45" s="15" t="inlineStr">
        <is>
          <t>Area under P-V curve</t>
        </is>
      </c>
    </row>
    <row r="46" ht="21.95" customHeight="1" s="44">
      <c r="B46" s="39" t="inlineStr">
        <is>
          <t>Normal</t>
        </is>
      </c>
      <c r="C46" s="39" t="inlineStr">
        <is>
          <t>0.3–0.6 J/L or 0.5–1.0 J/breath</t>
        </is>
      </c>
      <c r="D46" s="40" t="inlineStr">
        <is>
          <t>J</t>
        </is>
      </c>
      <c r="E46" s="39" t="inlineStr">
        <is>
          <t>At rest, spontaneous</t>
        </is>
      </c>
    </row>
    <row r="47" ht="21.95" customHeight="1" s="44">
      <c r="B47" s="15" t="inlineStr">
        <is>
          <t>Elastic WOB</t>
        </is>
      </c>
      <c r="C47" s="15" t="inlineStr">
        <is>
          <t>WOB_el = 0.5 × (Vt/1000)² / (C_rs/1000)</t>
        </is>
      </c>
      <c r="D47" s="38" t="inlineStr">
        <is>
          <t>J</t>
        </is>
      </c>
      <c r="E47" s="15" t="inlineStr">
        <is>
          <t>Energy stored in elastic recoil</t>
        </is>
      </c>
    </row>
    <row r="48" ht="21.95" customHeight="1" s="44">
      <c r="B48" s="39" t="inlineStr">
        <is>
          <t>Mech Power</t>
        </is>
      </c>
      <c r="C48" s="39" t="inlineStr">
        <is>
          <t>MP = WOB_insp × RR</t>
        </is>
      </c>
      <c r="D48" s="40" t="inlineStr">
        <is>
          <t>J/min</t>
        </is>
      </c>
      <c r="E48" s="39" t="inlineStr">
        <is>
          <t>VILI threshold: &gt;17 J/min</t>
        </is>
      </c>
    </row>
    <row r="51" ht="24" customHeight="1" s="44">
      <c r="B51" s="69" t="inlineStr">
        <is>
          <t>INTERACTIVE BEDSIDE CALCULATOR — Enter values in YELLOW cells</t>
        </is>
      </c>
    </row>
    <row r="52" ht="15.75" customHeight="1" s="44">
      <c r="B52" s="12" t="inlineStr">
        <is>
          <t>Pplat</t>
        </is>
      </c>
      <c r="C52" s="13" t="n">
        <v>25</v>
      </c>
      <c r="D52" s="14" t="inlineStr">
        <is>
          <t>cmH2O</t>
        </is>
      </c>
      <c r="E52" s="41" t="inlineStr">
        <is>
          <t>End-inspiratory plateau pressure</t>
        </is>
      </c>
    </row>
    <row r="53" ht="15.75" customHeight="1" s="44">
      <c r="B53" s="12" t="inlineStr">
        <is>
          <t>PEEP</t>
        </is>
      </c>
      <c r="C53" s="13" t="n">
        <v>5</v>
      </c>
      <c r="D53" s="14" t="inlineStr">
        <is>
          <t>cmH2O</t>
        </is>
      </c>
      <c r="E53" s="41" t="inlineStr">
        <is>
          <t>Total PEEP (static)</t>
        </is>
      </c>
    </row>
    <row r="54" ht="15.75" customHeight="1" s="44">
      <c r="B54" s="12" t="inlineStr">
        <is>
          <t>Vt</t>
        </is>
      </c>
      <c r="C54" s="13" t="n">
        <v>500</v>
      </c>
      <c r="D54" s="14" t="inlineStr">
        <is>
          <t>mL</t>
        </is>
      </c>
      <c r="E54" s="41" t="inlineStr">
        <is>
          <t>Tidal volume in mL</t>
        </is>
      </c>
    </row>
    <row r="55" ht="15.75" customHeight="1" s="44">
      <c r="B55" s="12" t="inlineStr">
        <is>
          <t>PIP</t>
        </is>
      </c>
      <c r="C55" s="13" t="n">
        <v>30</v>
      </c>
      <c r="D55" s="14" t="inlineStr">
        <is>
          <t>cmH2O</t>
        </is>
      </c>
      <c r="E55" s="41" t="inlineStr">
        <is>
          <t>Peak inspiratory pressure</t>
        </is>
      </c>
    </row>
    <row r="56" ht="15.75" customHeight="1" s="44">
      <c r="B56" s="12" t="inlineStr">
        <is>
          <t>Flow</t>
        </is>
      </c>
      <c r="C56" s="13" t="n">
        <v>0.5</v>
      </c>
      <c r="D56" s="14" t="inlineStr">
        <is>
          <t>L/s</t>
        </is>
      </c>
      <c r="E56" s="41" t="inlineStr">
        <is>
          <t>Constant inspiratory flow</t>
        </is>
      </c>
    </row>
    <row r="57" ht="15.75" customHeight="1" s="44">
      <c r="B57" s="12" t="inlineStr">
        <is>
          <t>Pes_insp</t>
        </is>
      </c>
      <c r="C57" s="13" t="n">
        <v>8</v>
      </c>
      <c r="D57" s="14" t="inlineStr">
        <is>
          <t>cmH2O</t>
        </is>
      </c>
      <c r="E57" s="41" t="inlineStr">
        <is>
          <t>Pes at end-inspiration</t>
        </is>
      </c>
    </row>
    <row r="58" ht="15.75" customHeight="1" s="44">
      <c r="B58" s="12" t="inlineStr">
        <is>
          <t>Pes_exp</t>
        </is>
      </c>
      <c r="C58" s="13" t="n">
        <v>4</v>
      </c>
      <c r="D58" s="14" t="inlineStr">
        <is>
          <t>cmH2O</t>
        </is>
      </c>
      <c r="E58" s="41" t="inlineStr">
        <is>
          <t>Pes at end-expiration</t>
        </is>
      </c>
    </row>
    <row r="59" ht="15.75" customHeight="1" s="44">
      <c r="B59" s="12" t="inlineStr">
        <is>
          <t>RR</t>
        </is>
      </c>
      <c r="C59" s="13" t="n">
        <v>15</v>
      </c>
      <c r="D59" s="14" t="inlineStr">
        <is>
          <t>br/min</t>
        </is>
      </c>
      <c r="E59" s="41" t="inlineStr">
        <is>
          <t>Respiratory rate</t>
        </is>
      </c>
    </row>
    <row r="61" ht="21.95" customHeight="1" s="44">
      <c r="B61" s="47" t="inlineStr">
        <is>
          <t>CALCULATED RESULTS</t>
        </is>
      </c>
    </row>
    <row r="62" ht="20.1" customHeight="1" s="44">
      <c r="B62" s="12" t="inlineStr">
        <is>
          <t>C_rs (mL/cmH2O)</t>
        </is>
      </c>
      <c r="C62" s="42">
        <f>C54/(C52-C53)</f>
        <v/>
      </c>
      <c r="D62" s="14" t="inlineStr">
        <is>
          <t>mL/cmH2O</t>
        </is>
      </c>
      <c r="E62" s="15" t="inlineStr">
        <is>
          <t>Vt/(Pplat−PEEP)</t>
        </is>
      </c>
    </row>
    <row r="63" ht="20.1" customHeight="1" s="44">
      <c r="B63" s="12" t="inlineStr">
        <is>
          <t>Driving Pressure</t>
        </is>
      </c>
      <c r="C63" s="42">
        <f>C52-C53</f>
        <v/>
      </c>
      <c r="D63" s="14" t="inlineStr">
        <is>
          <t>cmH2O</t>
        </is>
      </c>
      <c r="E63" s="15" t="inlineStr">
        <is>
          <t>Target &lt;13 cmH2O</t>
        </is>
      </c>
    </row>
    <row r="64" ht="20.1" customHeight="1" s="44">
      <c r="B64" s="12" t="inlineStr">
        <is>
          <t>R_aw</t>
        </is>
      </c>
      <c r="C64" s="42">
        <f>(C55-C52)/C56</f>
        <v/>
      </c>
      <c r="D64" s="14" t="inlineStr">
        <is>
          <t>cmH2O/L/s</t>
        </is>
      </c>
      <c r="E64" s="15" t="inlineStr">
        <is>
          <t>(PIP−Pplat)/Flow</t>
        </is>
      </c>
    </row>
    <row r="65" ht="20.1" customHeight="1" s="44">
      <c r="B65" s="12" t="inlineStr">
        <is>
          <t>PL_insp</t>
        </is>
      </c>
      <c r="C65" s="42">
        <f>C52-C57</f>
        <v/>
      </c>
      <c r="D65" s="14" t="inlineStr">
        <is>
          <t>cmH2O</t>
        </is>
      </c>
      <c r="E65" s="15" t="inlineStr">
        <is>
          <t>Pplat−Pes_insp</t>
        </is>
      </c>
    </row>
    <row r="66" ht="20.1" customHeight="1" s="44">
      <c r="B66" s="12" t="inlineStr">
        <is>
          <t>PL_exp</t>
        </is>
      </c>
      <c r="C66" s="42">
        <f>C53-C58</f>
        <v/>
      </c>
      <c r="D66" s="14" t="inlineStr">
        <is>
          <t>cmH2O</t>
        </is>
      </c>
      <c r="E66" s="15" t="inlineStr">
        <is>
          <t>PEEP−Pes_exp</t>
        </is>
      </c>
    </row>
    <row r="67" ht="20.1" customHeight="1" s="44">
      <c r="B67" s="12" t="inlineStr">
        <is>
          <t>C_L (mL/cmH2O)</t>
        </is>
      </c>
      <c r="C67" s="42">
        <f>C54/((C52-C57)-(C53-C58))</f>
        <v/>
      </c>
      <c r="D67" s="14" t="inlineStr">
        <is>
          <t>mL/cmH2O</t>
        </is>
      </c>
      <c r="E67" s="15" t="inlineStr">
        <is>
          <t>Lung compliance</t>
        </is>
      </c>
    </row>
    <row r="68" ht="20.1" customHeight="1" s="44">
      <c r="B68" s="12" t="inlineStr">
        <is>
          <t>C_cw (mL/cmH2O)</t>
        </is>
      </c>
      <c r="C68" s="42">
        <f>C54/(C57-C58)</f>
        <v/>
      </c>
      <c r="D68" s="14" t="inlineStr">
        <is>
          <t>mL/cmH2O</t>
        </is>
      </c>
      <c r="E68" s="15" t="inlineStr">
        <is>
          <t>Chest wall compliance</t>
        </is>
      </c>
    </row>
    <row r="69" ht="20.1" customHeight="1" s="44">
      <c r="B69" s="12" t="inlineStr">
        <is>
          <t>τ (R×C)</t>
        </is>
      </c>
      <c r="C69" s="42">
        <f>(C55-C52)/C56*C54/1000/(C52-C53)</f>
        <v/>
      </c>
      <c r="D69" s="14" t="inlineStr">
        <is>
          <t>s</t>
        </is>
      </c>
      <c r="E69" s="15" t="inlineStr">
        <is>
          <t>Time constant</t>
        </is>
      </c>
    </row>
    <row r="70" ht="20.1" customHeight="1" s="44">
      <c r="B70" s="12" t="inlineStr">
        <is>
          <t>Min Te (3×τ)</t>
        </is>
      </c>
      <c r="C70" s="42">
        <f>3*(C55-C52)/C56*C54/1000/(C52-C53)</f>
        <v/>
      </c>
      <c r="D70" s="14" t="inlineStr">
        <is>
          <t>s</t>
        </is>
      </c>
      <c r="E70" s="15" t="inlineStr">
        <is>
          <t>Minimum Te</t>
        </is>
      </c>
    </row>
    <row r="71" ht="20.1" customHeight="1" s="44">
      <c r="B71" s="12" t="inlineStr">
        <is>
          <t>WOB_el (J)</t>
        </is>
      </c>
      <c r="C71" s="42">
        <f>0.5*(C54/1000)^2/(C54/1000/(C52-C53))*0.0980665</f>
        <v/>
      </c>
      <c r="D71" s="14" t="inlineStr">
        <is>
          <t>J</t>
        </is>
      </c>
      <c r="E71" s="15" t="inlineStr">
        <is>
          <t>Elastic work</t>
        </is>
      </c>
    </row>
    <row r="72" ht="20.1" customHeight="1" s="44">
      <c r="B72" s="12" t="inlineStr">
        <is>
          <t>Mech Power (J/min)</t>
        </is>
      </c>
      <c r="C72" s="42">
        <f>0.5*(C54/1000)^2/(C54/1000/(C52-C53))*0.0980665*C59</f>
        <v/>
      </c>
      <c r="D72" s="14" t="inlineStr">
        <is>
          <t>J/min</t>
        </is>
      </c>
      <c r="E72" s="15" t="inlineStr">
        <is>
          <t>Elastic power</t>
        </is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10">
    <mergeCell ref="B61:E61"/>
    <mergeCell ref="B36:E36"/>
    <mergeCell ref="B1:E1"/>
    <mergeCell ref="B43:E43"/>
    <mergeCell ref="B29:E29"/>
    <mergeCell ref="B3:E3"/>
    <mergeCell ref="B2:E2"/>
    <mergeCell ref="B51:E51"/>
    <mergeCell ref="B22:E22"/>
    <mergeCell ref="B14:E14"/>
  </mergeCells>
  <pageMargins left="0.75" right="0.75" top="1" bottom="1" header="0.5" footer="0.5"/>
  <drawing xmlns:r="http://schemas.openxmlformats.org/officeDocument/2006/relationships" r:id="rId1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1:E35"/>
  <sheetViews>
    <sheetView showGridLines="0" workbookViewId="0">
      <selection activeCell="N8" sqref="N8"/>
    </sheetView>
  </sheetViews>
  <sheetFormatPr baseColWidth="8" defaultRowHeight="15"/>
  <cols>
    <col width="2" customWidth="1" style="44" min="1" max="1"/>
    <col width="30" customWidth="1" style="44" min="2" max="2"/>
    <col width="20" customWidth="1" style="44" min="3" max="4"/>
    <col width="36" customWidth="1" style="44" min="5" max="5"/>
    <col width="2" customWidth="1" style="44" min="6" max="6"/>
  </cols>
  <sheetData>
    <row r="1" ht="27.95" customHeight="1" s="44">
      <c r="B1" s="48" t="inlineStr">
        <is>
          <t xml:space="preserve">  REFERENCE VALUES &amp; CLINICAL THRESHOLDS</t>
        </is>
      </c>
    </row>
    <row r="3" ht="21.95" customHeight="1" s="44">
      <c r="B3" s="62" t="inlineStr">
        <is>
          <t>COMPLIANCE</t>
        </is>
      </c>
    </row>
    <row r="4" ht="18" customHeight="1" s="44">
      <c r="B4" s="37" t="inlineStr">
        <is>
          <t>Parameter</t>
        </is>
      </c>
      <c r="C4" s="37" t="inlineStr">
        <is>
          <t>Normal</t>
        </is>
      </c>
      <c r="D4" s="37" t="inlineStr">
        <is>
          <t>ARDS/Abnormal</t>
        </is>
      </c>
      <c r="E4" s="37" t="inlineStr">
        <is>
          <t>Clinical Action</t>
        </is>
      </c>
    </row>
    <row r="5" ht="20.1" customHeight="1" s="44">
      <c r="B5" s="15" t="inlineStr">
        <is>
          <t>C_rs</t>
        </is>
      </c>
      <c r="C5" s="15" t="inlineStr">
        <is>
          <t>60–100 mL/cmH2O</t>
        </is>
      </c>
      <c r="D5" s="15" t="inlineStr">
        <is>
          <t>ARDS: 10–40</t>
        </is>
      </c>
      <c r="E5" s="15" t="inlineStr">
        <is>
          <t>Reduce Vt if C_rs &lt;30</t>
        </is>
      </c>
    </row>
    <row r="6" ht="20.1" customHeight="1" s="44">
      <c r="B6" s="39" t="inlineStr">
        <is>
          <t>C_L</t>
        </is>
      </c>
      <c r="C6" s="39" t="inlineStr">
        <is>
          <t>150–200 mL/cmH2O</t>
        </is>
      </c>
      <c r="D6" s="39" t="inlineStr">
        <is>
          <t>ARDS: 30–80</t>
        </is>
      </c>
      <c r="E6" s="39" t="inlineStr">
        <is>
          <t>Esophageal manometry needed</t>
        </is>
      </c>
    </row>
    <row r="7" ht="20.1" customHeight="1" s="44">
      <c r="B7" s="15" t="inlineStr">
        <is>
          <t>C_cw</t>
        </is>
      </c>
      <c r="C7" s="15" t="inlineStr">
        <is>
          <t>~200 mL/cmH2O</t>
        </is>
      </c>
      <c r="D7" s="15" t="inlineStr">
        <is>
          <t>Obesity: 50–100</t>
        </is>
      </c>
      <c r="E7" s="15" t="inlineStr">
        <is>
          <t>Prone if C_cw reduced</t>
        </is>
      </c>
    </row>
    <row r="9" ht="21.95" customHeight="1" s="44">
      <c r="B9" s="73" t="inlineStr">
        <is>
          <t>RESISTANCE</t>
        </is>
      </c>
    </row>
    <row r="10" ht="18" customHeight="1" s="44">
      <c r="B10" s="37" t="inlineStr">
        <is>
          <t>Parameter</t>
        </is>
      </c>
      <c r="C10" s="37" t="inlineStr">
        <is>
          <t>Normal</t>
        </is>
      </c>
      <c r="D10" s="37" t="inlineStr">
        <is>
          <t>ARDS/Abnormal</t>
        </is>
      </c>
      <c r="E10" s="37" t="inlineStr">
        <is>
          <t>Clinical Action</t>
        </is>
      </c>
    </row>
    <row r="11" ht="20.1" customHeight="1" s="44">
      <c r="B11" s="15" t="inlineStr">
        <is>
          <t>R_aw (intubated)</t>
        </is>
      </c>
      <c r="C11" s="15" t="inlineStr">
        <is>
          <t>5–10 cmH2O/L/s</t>
        </is>
      </c>
      <c r="D11" s="15" t="inlineStr">
        <is>
          <t>COPD: 10–20+</t>
        </is>
      </c>
      <c r="E11" s="15" t="inlineStr">
        <is>
          <t>Bronchodilators, suction</t>
        </is>
      </c>
    </row>
    <row r="12" ht="20.1" customHeight="1" s="44">
      <c r="B12" s="39" t="inlineStr">
        <is>
          <t>R_exp</t>
        </is>
      </c>
      <c r="C12" s="39" t="inlineStr">
        <is>
          <t>5–12 cmH2O/L/s</t>
        </is>
      </c>
      <c r="D12" s="39" t="inlineStr">
        <is>
          <t>&gt;15: obstruction</t>
        </is>
      </c>
      <c r="E12" s="39" t="inlineStr">
        <is>
          <t>Check for auto-PEEP</t>
        </is>
      </c>
    </row>
    <row r="13" ht="20.1" customHeight="1" s="44">
      <c r="B13" s="15" t="inlineStr">
        <is>
          <t>Time constant τ</t>
        </is>
      </c>
      <c r="C13" s="15" t="inlineStr">
        <is>
          <t>0.2–0.5 s</t>
        </is>
      </c>
      <c r="D13" s="15" t="inlineStr">
        <is>
          <t>&gt;1 s: severe obstruction</t>
        </is>
      </c>
      <c r="E13" s="15" t="inlineStr">
        <is>
          <t>Extend Te</t>
        </is>
      </c>
    </row>
    <row r="15" ht="21.95" customHeight="1" s="44">
      <c r="B15" s="74" t="inlineStr">
        <is>
          <t>PRESSURES</t>
        </is>
      </c>
    </row>
    <row r="16" ht="18" customHeight="1" s="44">
      <c r="B16" s="37" t="inlineStr">
        <is>
          <t>Parameter</t>
        </is>
      </c>
      <c r="C16" s="37" t="inlineStr">
        <is>
          <t>Normal</t>
        </is>
      </c>
      <c r="D16" s="37" t="inlineStr">
        <is>
          <t>ARDS/Abnormal</t>
        </is>
      </c>
      <c r="E16" s="37" t="inlineStr">
        <is>
          <t>Clinical Action</t>
        </is>
      </c>
    </row>
    <row r="17" ht="20.1" customHeight="1" s="44">
      <c r="B17" s="15" t="inlineStr">
        <is>
          <t>Pplat</t>
        </is>
      </c>
      <c r="C17" s="15" t="inlineStr">
        <is>
          <t>&lt;28 cmH2O</t>
        </is>
      </c>
      <c r="D17" s="15" t="inlineStr">
        <is>
          <t>&gt;30: overdistension</t>
        </is>
      </c>
      <c r="E17" s="15" t="inlineStr">
        <is>
          <t>Reduce Vt</t>
        </is>
      </c>
    </row>
    <row r="18" ht="20.1" customHeight="1" s="44">
      <c r="B18" s="39" t="inlineStr">
        <is>
          <t>Driving Pressure</t>
        </is>
      </c>
      <c r="C18" s="39" t="inlineStr">
        <is>
          <t>&lt;13 cmH2O</t>
        </is>
      </c>
      <c r="D18" s="39" t="inlineStr">
        <is>
          <t>&gt;15: VILI risk</t>
        </is>
      </c>
      <c r="E18" s="39" t="inlineStr">
        <is>
          <t>Reduce Vt or PEEP</t>
        </is>
      </c>
    </row>
    <row r="19" ht="20.1" customHeight="1" s="44">
      <c r="B19" s="15" t="inlineStr">
        <is>
          <t>PL_insp</t>
        </is>
      </c>
      <c r="C19" s="15" t="inlineStr">
        <is>
          <t>20–25 cmH2O</t>
        </is>
      </c>
      <c r="D19" s="15" t="inlineStr">
        <is>
          <t>&gt;25: overdistension</t>
        </is>
      </c>
      <c r="E19" s="15" t="inlineStr">
        <is>
          <t>Reduce Vt or PEEP</t>
        </is>
      </c>
    </row>
    <row r="20" ht="20.1" customHeight="1" s="44">
      <c r="B20" s="39" t="inlineStr">
        <is>
          <t>PL_exp</t>
        </is>
      </c>
      <c r="C20" s="39" t="inlineStr">
        <is>
          <t>&gt;0 cmH2O</t>
        </is>
      </c>
      <c r="D20" s="39" t="inlineStr">
        <is>
          <t>&lt;0: atelectasis</t>
        </is>
      </c>
      <c r="E20" s="39" t="inlineStr">
        <is>
          <t>Increase PEEP</t>
        </is>
      </c>
    </row>
    <row r="21" ht="20.1" customHeight="1" s="44">
      <c r="B21" s="15" t="inlineStr">
        <is>
          <t>PEEP</t>
        </is>
      </c>
      <c r="C21" s="15" t="inlineStr">
        <is>
          <t>5–8 cmH2O</t>
        </is>
      </c>
      <c r="D21" s="15" t="inlineStr">
        <is>
          <t>ARDS: 8–20</t>
        </is>
      </c>
      <c r="E21" s="15" t="inlineStr">
        <is>
          <t>Titrate to PL_exp &gt;0</t>
        </is>
      </c>
    </row>
    <row r="23" ht="21.95" customHeight="1" s="44">
      <c r="B23" s="72" t="inlineStr">
        <is>
          <t>MECHANICAL POWER</t>
        </is>
      </c>
    </row>
    <row r="24" ht="18" customHeight="1" s="44">
      <c r="B24" s="37" t="inlineStr">
        <is>
          <t>Parameter</t>
        </is>
      </c>
      <c r="C24" s="37" t="inlineStr">
        <is>
          <t>Normal</t>
        </is>
      </c>
      <c r="D24" s="37" t="inlineStr">
        <is>
          <t>ARDS/Abnormal</t>
        </is>
      </c>
      <c r="E24" s="37" t="inlineStr">
        <is>
          <t>Clinical Action</t>
        </is>
      </c>
    </row>
    <row r="25" ht="20.1" customHeight="1" s="44">
      <c r="B25" s="15" t="inlineStr">
        <is>
          <t>Power_insp</t>
        </is>
      </c>
      <c r="C25" s="15" t="inlineStr">
        <is>
          <t>&lt;5 J/min</t>
        </is>
      </c>
      <c r="D25" s="15" t="inlineStr">
        <is>
          <t>&gt;17 J/min: VILI</t>
        </is>
      </c>
      <c r="E25" s="15" t="inlineStr">
        <is>
          <t>Reduce Vt, RR, or DP</t>
        </is>
      </c>
    </row>
    <row r="26" ht="20.1" customHeight="1" s="44">
      <c r="B26" s="39" t="inlineStr">
        <is>
          <t>Power_net</t>
        </is>
      </c>
      <c r="C26" s="39" t="inlineStr">
        <is>
          <t>&lt;3 J/min</t>
        </is>
      </c>
      <c r="D26" s="39" t="inlineStr">
        <is>
          <t>&gt;10 J/min: high risk</t>
        </is>
      </c>
      <c r="E26" s="39" t="inlineStr">
        <is>
          <t>Optimize flow pattern</t>
        </is>
      </c>
    </row>
    <row r="27" ht="20.1" customHeight="1" s="44">
      <c r="B27" s="15" t="inlineStr">
        <is>
          <t>WOB</t>
        </is>
      </c>
      <c r="C27" s="15" t="inlineStr">
        <is>
          <t>0.3–0.6 J/L</t>
        </is>
      </c>
      <c r="D27" s="15" t="inlineStr">
        <is>
          <t>Intubated: &lt;1.0 J/L</t>
        </is>
      </c>
      <c r="E27" s="15" t="inlineStr">
        <is>
          <t>Increase PS if WOB high</t>
        </is>
      </c>
    </row>
    <row r="29" ht="21.95" customHeight="1" s="44">
      <c r="B29" s="75" t="inlineStr">
        <is>
          <t>UNITS REFERENCE</t>
        </is>
      </c>
    </row>
    <row r="30" ht="18" customHeight="1" s="44">
      <c r="B30" s="37" t="inlineStr">
        <is>
          <t>Parameter</t>
        </is>
      </c>
      <c r="C30" s="37" t="inlineStr">
        <is>
          <t>Normal</t>
        </is>
      </c>
      <c r="D30" s="37" t="inlineStr">
        <is>
          <t>ARDS/Abnormal</t>
        </is>
      </c>
      <c r="E30" s="37" t="inlineStr">
        <is>
          <t>Clinical Action</t>
        </is>
      </c>
    </row>
    <row r="31" ht="20.1" customHeight="1" s="44">
      <c r="B31" s="15" t="inlineStr">
        <is>
          <t>Pressure</t>
        </is>
      </c>
      <c r="C31" s="15" t="inlineStr">
        <is>
          <t>cmH2O</t>
        </is>
      </c>
      <c r="D31" s="15" t="inlineStr">
        <is>
          <t>1 cmH2O = 0.0980665 J/L</t>
        </is>
      </c>
      <c r="E31" s="15" t="inlineStr">
        <is>
          <t>All pressures in this simulator</t>
        </is>
      </c>
    </row>
    <row r="32" ht="20.1" customHeight="1" s="44">
      <c r="B32" s="39" t="inlineStr">
        <is>
          <t>Flow</t>
        </is>
      </c>
      <c r="C32" s="39" t="inlineStr">
        <is>
          <t>L/min</t>
        </is>
      </c>
      <c r="D32" s="39" t="inlineStr">
        <is>
          <t>Divide by 60 for L/s</t>
        </is>
      </c>
      <c r="E32" s="39" t="inlineStr">
        <is>
          <t>Peak insp flow: 30–60 L/min</t>
        </is>
      </c>
    </row>
    <row r="33" ht="20.1" customHeight="1" s="44">
      <c r="B33" s="15" t="inlineStr">
        <is>
          <t>Volume</t>
        </is>
      </c>
      <c r="C33" s="15" t="inlineStr">
        <is>
          <t>mL</t>
        </is>
      </c>
      <c r="D33" s="15" t="inlineStr">
        <is>
          <t>1 L = 1000 mL</t>
        </is>
      </c>
      <c r="E33" s="15" t="inlineStr">
        <is>
          <t>Tidal volume: 400–600 mL (6 mL/kg IBW)</t>
        </is>
      </c>
    </row>
    <row r="34" ht="20.1" customHeight="1" s="44">
      <c r="B34" s="39" t="inlineStr">
        <is>
          <t>Work</t>
        </is>
      </c>
      <c r="C34" s="39" t="inlineStr">
        <is>
          <t>J (Joules)</t>
        </is>
      </c>
      <c r="D34" s="39" t="inlineStr">
        <is>
          <t>1 cmH2O·L = 0.0980665 J</t>
        </is>
      </c>
      <c r="E34" s="39" t="inlineStr">
        <is>
          <t>Mechanical work per breath</t>
        </is>
      </c>
    </row>
    <row r="35" ht="20.1" customHeight="1" s="44">
      <c r="B35" s="15" t="inlineStr">
        <is>
          <t>Power</t>
        </is>
      </c>
      <c r="C35" s="15" t="inlineStr">
        <is>
          <t>J/min</t>
        </is>
      </c>
      <c r="D35" s="15">
        <f>W * RR</f>
        <v/>
      </c>
      <c r="E35" s="15" t="inlineStr">
        <is>
          <t>Mechanical power</t>
        </is>
      </c>
    </row>
  </sheetData>
  <sheetProtection password="C7EA" sheet="1" objects="0" scenarios="0" selectLockedCells="0" selectUnlockedCells="0" formatCells="1" formatColumns="1" formatRows="1" insertColumns="1" insertRows="1" deleteColumns="1" deleteRows="1" sort="1" autoFilter="1"/>
  <mergeCells count="6">
    <mergeCell ref="B23:E23"/>
    <mergeCell ref="B9:E9"/>
    <mergeCell ref="B1:E1"/>
    <mergeCell ref="B15:E15"/>
    <mergeCell ref="B29:E29"/>
    <mergeCell ref="B3:E3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2026-05-07T07:49:17Z</dcterms:created>
  <dcterms:modified xmlns:dcterms="http://purl.org/dc/terms/" xmlns:xsi="http://www.w3.org/2001/XMLSchema-instance" xsi:type="dcterms:W3CDTF">2026-05-11T05:44:55Z</dcterms:modified>
  <cp:lastModifiedBy>ehab daoud</cp:lastModifiedBy>
</cp:coreProperties>
</file>